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SCPE\sdc\bq\6 - Mentions valorisantes\Certification environnementale\TEXTES_REGLEMENTATION_CE\Plans_contrôle et grilles\Niveau3_v4 2022\"/>
    </mc:Choice>
  </mc:AlternateContent>
  <bookViews>
    <workbookView xWindow="0" yWindow="0" windowWidth="25200" windowHeight="11850" tabRatio="772" activeTab="1"/>
  </bookViews>
  <sheets>
    <sheet name="Suivi modif" sheetId="19" r:id="rId1"/>
    <sheet name="Accueil" sheetId="1" r:id="rId2"/>
    <sheet name="Identification" sheetId="3" r:id="rId3"/>
    <sheet name="Surfaces" sheetId="4" r:id="rId4"/>
    <sheet name="Surfaces_Horti" sheetId="23" r:id="rId5"/>
    <sheet name="Biodiversité" sheetId="5" r:id="rId6"/>
    <sheet name="Phyto" sheetId="6" r:id="rId7"/>
    <sheet name="Fertilisation" sheetId="7" r:id="rId8"/>
    <sheet name="Irrigation" sheetId="8" r:id="rId9"/>
    <sheet name="SYNTHESE" sheetId="10" r:id="rId10"/>
    <sheet name="Listes" sheetId="2" state="veryHidden" r:id="rId11"/>
    <sheet name="Paramètres" sheetId="9" state="veryHidden" r:id="rId12"/>
    <sheet name="OTEX" sheetId="18" r:id="rId13"/>
    <sheet name="Scoring_GC" sheetId="11" r:id="rId14"/>
    <sheet name="Scoring_Arboriculture" sheetId="13" r:id="rId15"/>
    <sheet name="Scoring_Viticulture" sheetId="15" r:id="rId16"/>
    <sheet name="Communes_07-26" sheetId="17" r:id="rId17"/>
    <sheet name="BDD_OC" sheetId="16" r:id="rId18"/>
    <sheet name="BDD_SC" sheetId="22" r:id="rId19"/>
  </sheets>
  <definedNames>
    <definedName name="_xlnm._FilterDatabase" localSheetId="11" hidden="1">Paramètres!$BB$4:$BI$109</definedName>
    <definedName name="_xlnm._FilterDatabase" localSheetId="14" hidden="1">Scoring_Arboriculture!$E$3:$K$282</definedName>
    <definedName name="_xlnm._FilterDatabase" localSheetId="13" hidden="1">Scoring_GC!$B$4:$F$26</definedName>
    <definedName name="cBassinViti">Phyto!$S$67</definedName>
    <definedName name="cCampagneN">Paramètres!$BP$5</definedName>
    <definedName name="cCampagneN1">Paramètres!$BP$8</definedName>
    <definedName name="CCampagneN2">Paramètres!$BP$9</definedName>
    <definedName name="cCMR1">Phyto!$S$10</definedName>
    <definedName name="cCMR2">Phyto!$P$22</definedName>
    <definedName name="cIrriguante">Irrigation!$K$10</definedName>
    <definedName name="cRegion">Phyto!$I$66</definedName>
    <definedName name="cSAU">Surfaces!$O$24</definedName>
    <definedName name="cTypeAudit">Identification!$F$14</definedName>
    <definedName name="lstActivitesAnimales">OFFSET(Listes!$H$3,1,0,COUNTA(Listes!$H:$H)-1,1)</definedName>
    <definedName name="lstActivitesVegetales">OFFSET(Listes!$F$3,1,0,COUNTA(Listes!$F:$F)-1,1)</definedName>
    <definedName name="LstAutresDemarches">OFFSET(Listes!$V$3,1,0,COUNTA(Listes!$V:$V)-1,1)</definedName>
    <definedName name="lstBassinViticole" localSheetId="18">OFFSET(Listes!#REF!,1,0,COUNTA(Listes!#REF!)-1,1)</definedName>
    <definedName name="lstBassinViticole">OFFSET(Listes!#REF!,1,0,COUNTA(Listes!#REF!)-1,1)</definedName>
    <definedName name="lstCalculBilan">OFFSET(Listes!$O$3,1,0,COUNTA(Listes!$O:$O)-1,1)</definedName>
    <definedName name="lstCultureFruits">OFFSET(Listes!$L$3,1,0,COUNTA(Listes!$L:$L)-1,1)</definedName>
    <definedName name="lstDepartements">OFFSET(Paramètres!$BI$4,1,0,COUNTA(Paramètres!$BI:$BI)-1,1)</definedName>
    <definedName name="lstNatureAudit">OFFSET(Listes!$J$3,1,0,COUNTA(Listes!$J:$J)-1,1)</definedName>
    <definedName name="LstNumDepartements" localSheetId="18">OFFSET(Listes!#REF!,1,0,COUNTA(Listes!#REF!)-1,1)</definedName>
    <definedName name="LstNumDepartements">OFFSET(Listes!#REF!,1,0,COUNTA(Listes!#REF!)-1,1)</definedName>
    <definedName name="lstRegions">OFFSET(Listes!$D$3,1,0,COUNTA(Listes!$D:$D)-1,1)</definedName>
    <definedName name="lstStatutJuridique">OFFSET(Listes!$B$3,1,0,COUNTA(Listes!$B:$B)-1,1)</definedName>
    <definedName name="lstVersion">OFFSET(Listes!$X$3,1,0,COUNTA(Listes!$X:$X)-1,1)</definedName>
    <definedName name="_xlnm.Print_Area" localSheetId="9">SYNTHESE!$A$1:$AC$78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9" i="5" l="1"/>
  <c r="N1" i="23" l="1"/>
  <c r="C13" i="4" l="1"/>
  <c r="M114" i="23" l="1"/>
  <c r="M115" i="23" s="1"/>
  <c r="L114" i="23"/>
  <c r="L115" i="23" s="1"/>
  <c r="K114" i="23"/>
  <c r="K115" i="23" s="1"/>
  <c r="J114" i="23"/>
  <c r="J115" i="23" s="1"/>
  <c r="I114" i="23"/>
  <c r="I115" i="23" s="1"/>
  <c r="H114" i="23"/>
  <c r="H115" i="23" s="1"/>
  <c r="G114" i="23"/>
  <c r="G115" i="23" s="1"/>
  <c r="F114" i="23"/>
  <c r="F115" i="23" s="1"/>
  <c r="E114" i="23"/>
  <c r="E115" i="23" s="1"/>
  <c r="D114" i="23"/>
  <c r="D115" i="23" s="1"/>
  <c r="C114" i="23"/>
  <c r="C115" i="23" s="1"/>
  <c r="B114" i="23"/>
  <c r="B115" i="23" s="1"/>
  <c r="M112" i="23"/>
  <c r="M113" i="23" s="1"/>
  <c r="L112" i="23"/>
  <c r="L113" i="23" s="1"/>
  <c r="K112" i="23"/>
  <c r="K113" i="23" s="1"/>
  <c r="J112" i="23"/>
  <c r="J113" i="23" s="1"/>
  <c r="I112" i="23"/>
  <c r="I113" i="23" s="1"/>
  <c r="H112" i="23"/>
  <c r="H113" i="23" s="1"/>
  <c r="G112" i="23"/>
  <c r="G113" i="23" s="1"/>
  <c r="F112" i="23"/>
  <c r="F113" i="23" s="1"/>
  <c r="E112" i="23"/>
  <c r="E113" i="23" s="1"/>
  <c r="D112" i="23"/>
  <c r="D113" i="23" s="1"/>
  <c r="C112" i="23"/>
  <c r="C113" i="23" s="1"/>
  <c r="B112" i="23"/>
  <c r="B113" i="23" s="1"/>
  <c r="N110" i="23"/>
  <c r="N109" i="23"/>
  <c r="N107" i="23"/>
  <c r="Q192" i="4" s="1"/>
  <c r="N106" i="23"/>
  <c r="Q191" i="4" s="1"/>
  <c r="N105" i="23"/>
  <c r="Q190" i="4" s="1"/>
  <c r="N104" i="23"/>
  <c r="Q189" i="4" s="1"/>
  <c r="N103" i="23"/>
  <c r="Q188" i="4" s="1"/>
  <c r="N102" i="23"/>
  <c r="Q187" i="4" s="1"/>
  <c r="N101" i="23"/>
  <c r="Q186" i="4" s="1"/>
  <c r="N100" i="23"/>
  <c r="Q185" i="4" s="1"/>
  <c r="N99" i="23"/>
  <c r="Q184" i="4" s="1"/>
  <c r="N98" i="23"/>
  <c r="Q183" i="4" s="1"/>
  <c r="N97" i="23"/>
  <c r="Q182" i="4" s="1"/>
  <c r="N96" i="23"/>
  <c r="Q181" i="4" s="1"/>
  <c r="N95" i="23"/>
  <c r="Q180" i="4" s="1"/>
  <c r="N93" i="23"/>
  <c r="Q178" i="4" s="1"/>
  <c r="N92" i="23"/>
  <c r="Q177" i="4" s="1"/>
  <c r="N91" i="23"/>
  <c r="Q176" i="4" s="1"/>
  <c r="N90" i="23"/>
  <c r="Q175" i="4" s="1"/>
  <c r="N89" i="23"/>
  <c r="Q174" i="4" s="1"/>
  <c r="N88" i="23"/>
  <c r="Q173" i="4" s="1"/>
  <c r="N87" i="23"/>
  <c r="Q172" i="4" s="1"/>
  <c r="N86" i="23"/>
  <c r="Q171" i="4" s="1"/>
  <c r="M77" i="23"/>
  <c r="M78" i="23" s="1"/>
  <c r="M75" i="23"/>
  <c r="M76" i="23" s="1"/>
  <c r="L77" i="23"/>
  <c r="L78" i="23" s="1"/>
  <c r="K77" i="23"/>
  <c r="K78" i="23" s="1"/>
  <c r="J77" i="23"/>
  <c r="J78" i="23" s="1"/>
  <c r="I77" i="23"/>
  <c r="I78" i="23" s="1"/>
  <c r="H77" i="23"/>
  <c r="H78" i="23" s="1"/>
  <c r="G77" i="23"/>
  <c r="G78" i="23" s="1"/>
  <c r="F77" i="23"/>
  <c r="F78" i="23" s="1"/>
  <c r="E77" i="23"/>
  <c r="E78" i="23" s="1"/>
  <c r="D77" i="23"/>
  <c r="D78" i="23" s="1"/>
  <c r="C77" i="23"/>
  <c r="C78" i="23" s="1"/>
  <c r="B77" i="23"/>
  <c r="B78" i="23" s="1"/>
  <c r="L75" i="23"/>
  <c r="L76" i="23" s="1"/>
  <c r="K75" i="23"/>
  <c r="K76" i="23" s="1"/>
  <c r="J75" i="23"/>
  <c r="J76" i="23" s="1"/>
  <c r="I75" i="23"/>
  <c r="I76" i="23" s="1"/>
  <c r="H75" i="23"/>
  <c r="H76" i="23" s="1"/>
  <c r="G75" i="23"/>
  <c r="G76" i="23" s="1"/>
  <c r="F75" i="23"/>
  <c r="F76" i="23" s="1"/>
  <c r="E75" i="23"/>
  <c r="E76" i="23" s="1"/>
  <c r="D75" i="23"/>
  <c r="D76" i="23" s="1"/>
  <c r="C75" i="23"/>
  <c r="C76" i="23" s="1"/>
  <c r="B75" i="23"/>
  <c r="B76" i="23" s="1"/>
  <c r="N73" i="23"/>
  <c r="N72" i="23"/>
  <c r="N70" i="23"/>
  <c r="P192" i="4" s="1"/>
  <c r="N69" i="23"/>
  <c r="P191" i="4" s="1"/>
  <c r="N68" i="23"/>
  <c r="P190" i="4" s="1"/>
  <c r="N67" i="23"/>
  <c r="P189" i="4" s="1"/>
  <c r="N66" i="23"/>
  <c r="P188" i="4" s="1"/>
  <c r="N65" i="23"/>
  <c r="P187" i="4" s="1"/>
  <c r="N64" i="23"/>
  <c r="P186" i="4" s="1"/>
  <c r="N63" i="23"/>
  <c r="P185" i="4" s="1"/>
  <c r="N62" i="23"/>
  <c r="P184" i="4" s="1"/>
  <c r="N61" i="23"/>
  <c r="P183" i="4" s="1"/>
  <c r="N60" i="23"/>
  <c r="P182" i="4" s="1"/>
  <c r="N59" i="23"/>
  <c r="P181" i="4" s="1"/>
  <c r="N58" i="23"/>
  <c r="P180" i="4" s="1"/>
  <c r="N56" i="23"/>
  <c r="P178" i="4" s="1"/>
  <c r="N55" i="23"/>
  <c r="P177" i="4" s="1"/>
  <c r="N54" i="23"/>
  <c r="P176" i="4" s="1"/>
  <c r="N53" i="23"/>
  <c r="P175" i="4" s="1"/>
  <c r="N52" i="23"/>
  <c r="P174" i="4" s="1"/>
  <c r="N51" i="23"/>
  <c r="P173" i="4" s="1"/>
  <c r="N50" i="23"/>
  <c r="P172" i="4" s="1"/>
  <c r="N49" i="23"/>
  <c r="P171" i="4" s="1"/>
  <c r="N75" i="23" l="1"/>
  <c r="N115" i="23"/>
  <c r="Q194" i="4" s="1"/>
  <c r="N113" i="23"/>
  <c r="Q195" i="4" s="1"/>
  <c r="N114" i="23"/>
  <c r="N112" i="23"/>
  <c r="N76" i="23"/>
  <c r="P195" i="4" s="1"/>
  <c r="N78" i="23"/>
  <c r="P194" i="4" s="1"/>
  <c r="N77" i="23"/>
  <c r="N36" i="23"/>
  <c r="N35" i="23"/>
  <c r="B40" i="23"/>
  <c r="B41" i="23" s="1"/>
  <c r="B38" i="23"/>
  <c r="B39" i="23" s="1"/>
  <c r="M40" i="23" l="1"/>
  <c r="M41" i="23" s="1"/>
  <c r="C38" i="23"/>
  <c r="C39" i="23" s="1"/>
  <c r="D38" i="23"/>
  <c r="D39" i="23" s="1"/>
  <c r="E38" i="23"/>
  <c r="E39" i="23" s="1"/>
  <c r="F38" i="23"/>
  <c r="F39" i="23" s="1"/>
  <c r="G38" i="23"/>
  <c r="G39" i="23" s="1"/>
  <c r="H38" i="23"/>
  <c r="H39" i="23" s="1"/>
  <c r="I38" i="23"/>
  <c r="I39" i="23" s="1"/>
  <c r="J38" i="23"/>
  <c r="J39" i="23" s="1"/>
  <c r="K38" i="23"/>
  <c r="K39" i="23" s="1"/>
  <c r="L38" i="23"/>
  <c r="L39" i="23" s="1"/>
  <c r="M38" i="23"/>
  <c r="M39" i="23" s="1"/>
  <c r="N33" i="23"/>
  <c r="O192" i="4" s="1"/>
  <c r="N32" i="23"/>
  <c r="O191" i="4" s="1"/>
  <c r="N31" i="23"/>
  <c r="O190" i="4" s="1"/>
  <c r="N30" i="23"/>
  <c r="O189" i="4" s="1"/>
  <c r="N29" i="23"/>
  <c r="O188" i="4" s="1"/>
  <c r="N28" i="23"/>
  <c r="O187" i="4" s="1"/>
  <c r="N27" i="23"/>
  <c r="O186" i="4" s="1"/>
  <c r="N26" i="23"/>
  <c r="O185" i="4" s="1"/>
  <c r="N25" i="23"/>
  <c r="O184" i="4" s="1"/>
  <c r="N24" i="23"/>
  <c r="O183" i="4" s="1"/>
  <c r="N23" i="23"/>
  <c r="O182" i="4" s="1"/>
  <c r="N22" i="23"/>
  <c r="O181" i="4" s="1"/>
  <c r="N21" i="23"/>
  <c r="O180" i="4" s="1"/>
  <c r="N13" i="23"/>
  <c r="O172" i="4" s="1"/>
  <c r="N14" i="23"/>
  <c r="O173" i="4" s="1"/>
  <c r="N15" i="23"/>
  <c r="O174" i="4" s="1"/>
  <c r="N16" i="23"/>
  <c r="O175" i="4" s="1"/>
  <c r="N17" i="23"/>
  <c r="O176" i="4" s="1"/>
  <c r="N18" i="23"/>
  <c r="O177" i="4" s="1"/>
  <c r="N19" i="23"/>
  <c r="O178" i="4" s="1"/>
  <c r="N12" i="23"/>
  <c r="O171" i="4" s="1"/>
  <c r="N39" i="23" l="1"/>
  <c r="O195" i="4" s="1"/>
  <c r="N38" i="23"/>
  <c r="C40" i="23"/>
  <c r="D40" i="23"/>
  <c r="D41" i="23" s="1"/>
  <c r="E40" i="23"/>
  <c r="E41" i="23" s="1"/>
  <c r="F40" i="23"/>
  <c r="F41" i="23" s="1"/>
  <c r="G40" i="23"/>
  <c r="G41" i="23" s="1"/>
  <c r="H40" i="23"/>
  <c r="H41" i="23" s="1"/>
  <c r="I40" i="23"/>
  <c r="I41" i="23" s="1"/>
  <c r="J40" i="23"/>
  <c r="J41" i="23" s="1"/>
  <c r="K40" i="23"/>
  <c r="K41" i="23" s="1"/>
  <c r="L40" i="23"/>
  <c r="L41" i="23" s="1"/>
  <c r="C41" i="23" l="1"/>
  <c r="N41" i="23" s="1"/>
  <c r="O194" i="4" s="1"/>
  <c r="N40" i="23"/>
  <c r="S69" i="10"/>
  <c r="S57" i="10"/>
  <c r="F69" i="10"/>
  <c r="F57" i="10"/>
  <c r="AI88" i="6"/>
  <c r="AI87" i="6"/>
  <c r="L73" i="6"/>
  <c r="L72" i="6"/>
  <c r="J73" i="6"/>
  <c r="J72" i="6"/>
  <c r="L340" i="6" l="1"/>
  <c r="L345" i="6"/>
  <c r="L78" i="6"/>
  <c r="L77" i="6"/>
  <c r="J78" i="6"/>
  <c r="J77" i="6"/>
  <c r="Q162" i="4" l="1"/>
  <c r="P162" i="4"/>
  <c r="O162" i="4"/>
  <c r="CC6" i="22" l="1"/>
  <c r="GO6" i="22"/>
  <c r="P6" i="22"/>
  <c r="H6" i="22"/>
  <c r="T6" i="22"/>
  <c r="S6" i="22"/>
  <c r="U6" i="22"/>
  <c r="W6" i="22"/>
  <c r="V6" i="22"/>
  <c r="AD6" i="22"/>
  <c r="AC6" i="22"/>
  <c r="Y6" i="22"/>
  <c r="X6" i="22"/>
  <c r="R6" i="22"/>
  <c r="Q6" i="22"/>
  <c r="O6" i="22"/>
  <c r="N6" i="22"/>
  <c r="L6" i="22"/>
  <c r="K6" i="22"/>
  <c r="J6" i="22"/>
  <c r="I6" i="22"/>
  <c r="E6" i="22"/>
  <c r="D6" i="22"/>
  <c r="C6" i="22"/>
  <c r="B6" i="22"/>
  <c r="HH6" i="22"/>
  <c r="HB6" i="22"/>
  <c r="GU6" i="22"/>
  <c r="GT6" i="22"/>
  <c r="GS6" i="22"/>
  <c r="GP6" i="22"/>
  <c r="GN6" i="22"/>
  <c r="GH6" i="22"/>
  <c r="GG6" i="22"/>
  <c r="GF6" i="22"/>
  <c r="GC6" i="22"/>
  <c r="GB6" i="22"/>
  <c r="GA6" i="22"/>
  <c r="FT6" i="22"/>
  <c r="FF6" i="22"/>
  <c r="FD6" i="22"/>
  <c r="EI6" i="22"/>
  <c r="DY6" i="22"/>
  <c r="DX6" i="22"/>
  <c r="DN6" i="22"/>
  <c r="DM6" i="22"/>
  <c r="DL6" i="22"/>
  <c r="DK6" i="22"/>
  <c r="DJ6" i="22"/>
  <c r="DI6" i="22"/>
  <c r="DH6" i="22"/>
  <c r="DG6" i="22"/>
  <c r="DD6" i="22"/>
  <c r="DC6" i="22"/>
  <c r="DB6" i="22"/>
  <c r="CZ6" i="22"/>
  <c r="CY6" i="22"/>
  <c r="CX6" i="22"/>
  <c r="CV6" i="22"/>
  <c r="CU6" i="22"/>
  <c r="CS6" i="22"/>
  <c r="CR6" i="22"/>
  <c r="CE6" i="22"/>
  <c r="AR6" i="22"/>
  <c r="AQ6" i="22"/>
  <c r="AP6" i="22"/>
  <c r="AO6" i="22"/>
  <c r="AN6" i="22"/>
  <c r="AK6" i="22"/>
  <c r="AJ6" i="22"/>
  <c r="AI6" i="22"/>
  <c r="AH6" i="22"/>
  <c r="AG6" i="22"/>
  <c r="AF6" i="22"/>
  <c r="O276" i="7" l="1"/>
  <c r="AI283" i="7" l="1"/>
  <c r="AJ284" i="7"/>
  <c r="AI284" i="7"/>
  <c r="P49" i="7" l="1"/>
  <c r="D55" i="7"/>
  <c r="M51" i="7" l="1"/>
  <c r="FE6" i="22" s="1"/>
  <c r="Y1" i="3"/>
  <c r="O13" i="8" l="1"/>
  <c r="I144" i="5"/>
  <c r="L148" i="5" l="1"/>
  <c r="O96" i="6" l="1"/>
  <c r="T96" i="6"/>
  <c r="J96" i="6"/>
  <c r="M47" i="6" l="1"/>
  <c r="P83" i="5"/>
  <c r="CF6" i="22" s="1"/>
  <c r="O277" i="7" l="1"/>
  <c r="O278" i="7"/>
  <c r="Y5" i="16"/>
  <c r="V5" i="16"/>
  <c r="P236" i="8"/>
  <c r="HI6" i="22" s="1"/>
  <c r="AJ283" i="7"/>
  <c r="P38" i="6" l="1"/>
  <c r="T47" i="5"/>
  <c r="T43" i="5" s="1"/>
  <c r="U5" i="16"/>
  <c r="BP5" i="9"/>
  <c r="I67" i="6"/>
  <c r="P51" i="7"/>
  <c r="N233" i="7"/>
  <c r="C99" i="7"/>
  <c r="C98" i="7"/>
  <c r="AL56" i="7"/>
  <c r="AL55" i="7"/>
  <c r="AK56" i="7"/>
  <c r="AK55" i="7"/>
  <c r="C134" i="6" l="1"/>
  <c r="C87" i="7"/>
  <c r="BP7" i="9"/>
  <c r="BP6" i="9"/>
  <c r="BP8" i="9" l="1"/>
  <c r="C88" i="7" s="1"/>
  <c r="BP9" i="9"/>
  <c r="L230" i="5"/>
  <c r="O80" i="8"/>
  <c r="GV6" i="22" s="1"/>
  <c r="L231" i="5" l="1"/>
  <c r="CT6" i="22" s="1"/>
  <c r="C135" i="6"/>
  <c r="C89" i="7"/>
  <c r="C136" i="6"/>
  <c r="C11" i="4"/>
  <c r="N232" i="7"/>
  <c r="N231" i="7"/>
  <c r="N230" i="7"/>
  <c r="N229" i="7"/>
  <c r="O148" i="7"/>
  <c r="O147" i="7"/>
  <c r="O146" i="7"/>
  <c r="O142" i="7"/>
  <c r="O141" i="7"/>
  <c r="O140" i="7"/>
  <c r="Q93" i="7"/>
  <c r="S44" i="7"/>
  <c r="V23" i="7"/>
  <c r="S23" i="7"/>
  <c r="P23" i="7"/>
  <c r="P25" i="7" s="1"/>
  <c r="O339" i="6"/>
  <c r="FW6" i="22" l="1"/>
  <c r="Q90" i="7"/>
  <c r="C94" i="7"/>
  <c r="N237" i="7"/>
  <c r="Q94" i="7"/>
  <c r="T93" i="7"/>
  <c r="J265" i="6" l="1"/>
  <c r="O267" i="6" s="1"/>
  <c r="L262" i="6"/>
  <c r="Q140" i="6"/>
  <c r="C141" i="6" l="1"/>
  <c r="Q137" i="6"/>
  <c r="T140" i="6"/>
  <c r="Q141" i="6"/>
  <c r="W263" i="5"/>
  <c r="AD17" i="5" l="1"/>
  <c r="AD18" i="5"/>
  <c r="AD19" i="5"/>
  <c r="AD20" i="5"/>
  <c r="AD21" i="5"/>
  <c r="AD22" i="5"/>
  <c r="AD23" i="5"/>
  <c r="AD24" i="5"/>
  <c r="AD25" i="5"/>
  <c r="AD26" i="5"/>
  <c r="AD27" i="5"/>
  <c r="AD28" i="5"/>
  <c r="AD29" i="5"/>
  <c r="AD30" i="5"/>
  <c r="AD31" i="5"/>
  <c r="AD32" i="5"/>
  <c r="AD33" i="5"/>
  <c r="AD34" i="5"/>
  <c r="AD35" i="5"/>
  <c r="T42" i="5"/>
  <c r="T35" i="5"/>
  <c r="Y35" i="5" s="1"/>
  <c r="BZ6" i="22" s="1"/>
  <c r="C9" i="4" l="1"/>
  <c r="O170" i="4"/>
  <c r="O21" i="4"/>
  <c r="P11" i="7"/>
  <c r="P30" i="7"/>
  <c r="O75" i="4"/>
  <c r="T56" i="5" a="1"/>
  <c r="T56" i="5" s="1"/>
  <c r="CB6" i="22" s="1"/>
  <c r="G5" i="16"/>
  <c r="AC5" i="16"/>
  <c r="AB5" i="16"/>
  <c r="X5" i="16"/>
  <c r="W5" i="16"/>
  <c r="Q5" i="16"/>
  <c r="P5" i="16"/>
  <c r="O5" i="16"/>
  <c r="N5" i="16"/>
  <c r="M5" i="16"/>
  <c r="L5" i="16"/>
  <c r="K5" i="16"/>
  <c r="J5" i="16"/>
  <c r="I5" i="16"/>
  <c r="H5" i="16"/>
  <c r="D5" i="16"/>
  <c r="E5" i="16"/>
  <c r="C5" i="16"/>
  <c r="B5" i="16"/>
  <c r="A5" i="16"/>
  <c r="A39" i="23" l="1"/>
  <c r="A8" i="23"/>
  <c r="A41" i="23"/>
  <c r="A7" i="23"/>
  <c r="V30" i="7"/>
  <c r="V11" i="7"/>
  <c r="Q21" i="4"/>
  <c r="Q170" i="4"/>
  <c r="Q75" i="4"/>
  <c r="S11" i="7"/>
  <c r="S30" i="7"/>
  <c r="P21" i="4"/>
  <c r="P170" i="4"/>
  <c r="P75" i="4"/>
  <c r="K107" i="6"/>
  <c r="K106" i="6"/>
  <c r="BI6" i="9"/>
  <c r="BI7" i="9"/>
  <c r="BI8" i="9"/>
  <c r="BI47" i="9"/>
  <c r="BI9" i="9"/>
  <c r="BI10" i="9"/>
  <c r="BI11" i="9"/>
  <c r="BI12" i="9"/>
  <c r="BI13" i="9"/>
  <c r="BI14" i="9"/>
  <c r="BI15" i="9"/>
  <c r="BI16" i="9"/>
  <c r="BI18" i="9"/>
  <c r="BI19" i="9"/>
  <c r="BI20" i="9"/>
  <c r="BI21" i="9"/>
  <c r="BI22" i="9"/>
  <c r="BI23" i="9"/>
  <c r="BI24" i="9"/>
  <c r="BI26" i="9"/>
  <c r="BI27" i="9"/>
  <c r="BI28" i="9"/>
  <c r="BI30" i="9"/>
  <c r="BI31" i="9"/>
  <c r="BI32" i="9"/>
  <c r="BI33" i="9"/>
  <c r="BI35" i="9"/>
  <c r="BI36" i="9"/>
  <c r="BI37" i="9"/>
  <c r="BI38" i="9"/>
  <c r="BI44" i="9"/>
  <c r="BI39" i="9"/>
  <c r="BI40" i="9"/>
  <c r="BI54" i="9"/>
  <c r="BI55" i="9"/>
  <c r="BI56" i="9"/>
  <c r="BI57" i="9"/>
  <c r="BI58" i="9"/>
  <c r="BI59" i="9"/>
  <c r="BI61" i="9"/>
  <c r="BI65" i="9"/>
  <c r="BI62" i="9"/>
  <c r="BI45" i="9"/>
  <c r="BI63" i="9"/>
  <c r="BI64" i="9"/>
  <c r="BI66" i="9"/>
  <c r="BI67" i="9"/>
  <c r="BI68" i="9"/>
  <c r="BI69" i="9"/>
  <c r="BI70" i="9"/>
  <c r="BI71" i="9"/>
  <c r="BI46" i="9"/>
  <c r="BI73" i="9"/>
  <c r="BI75" i="9"/>
  <c r="BI76" i="9"/>
  <c r="BI77" i="9"/>
  <c r="BI78" i="9"/>
  <c r="BI79" i="9"/>
  <c r="BI80" i="9"/>
  <c r="BI81" i="9"/>
  <c r="BI82" i="9"/>
  <c r="BI84" i="9"/>
  <c r="BI85" i="9"/>
  <c r="BI86" i="9"/>
  <c r="BI50" i="9"/>
  <c r="BI87" i="9"/>
  <c r="BI17" i="9"/>
  <c r="BI52" i="9"/>
  <c r="BI88" i="9"/>
  <c r="BI89" i="9"/>
  <c r="BI48" i="9"/>
  <c r="BI90" i="9"/>
  <c r="BI91" i="9"/>
  <c r="BI92" i="9"/>
  <c r="BI93" i="9"/>
  <c r="BI49" i="9"/>
  <c r="BI83" i="9"/>
  <c r="BI95" i="9"/>
  <c r="BI94" i="9"/>
  <c r="BI109" i="9"/>
  <c r="BI29" i="9"/>
  <c r="BI97" i="9"/>
  <c r="BI98" i="9"/>
  <c r="BI99" i="9"/>
  <c r="BI103" i="9"/>
  <c r="BI104" i="9"/>
  <c r="BI105" i="9"/>
  <c r="BI106" i="9"/>
  <c r="BI51" i="9"/>
  <c r="BI107" i="9"/>
  <c r="BI108" i="9"/>
  <c r="BI100" i="9"/>
  <c r="BI34" i="9"/>
  <c r="BI53" i="9"/>
  <c r="BI96" i="9"/>
  <c r="BI101" i="9"/>
  <c r="BI102" i="9"/>
  <c r="BI41" i="9"/>
  <c r="BI72" i="9"/>
  <c r="BI42" i="9"/>
  <c r="BI60" i="9"/>
  <c r="BI74" i="9"/>
  <c r="BI25" i="9"/>
  <c r="BI43" i="9"/>
  <c r="BI5" i="9"/>
  <c r="A78" i="23" l="1"/>
  <c r="A76" i="23"/>
  <c r="A44" i="23"/>
  <c r="A45" i="23"/>
  <c r="A113" i="23"/>
  <c r="A115" i="23"/>
  <c r="A82" i="23"/>
  <c r="A81" i="23"/>
  <c r="AI90" i="6"/>
  <c r="AI89" i="6" s="1"/>
  <c r="R34" i="3"/>
  <c r="R36" i="3"/>
  <c r="AM6" i="22" s="1"/>
  <c r="S67" i="6"/>
  <c r="I66" i="6"/>
  <c r="N72" i="6" l="1"/>
  <c r="F5" i="16"/>
  <c r="M6" i="22"/>
  <c r="AL6" i="22"/>
  <c r="P73" i="6"/>
  <c r="N73" i="6"/>
  <c r="H99" i="6" s="1"/>
  <c r="P72" i="6"/>
  <c r="P78" i="6"/>
  <c r="N78" i="6"/>
  <c r="M99" i="6" s="1"/>
  <c r="P77" i="6"/>
  <c r="N77" i="6"/>
  <c r="M98" i="6" s="1"/>
  <c r="M96" i="6"/>
  <c r="DQ6" i="22" l="1"/>
  <c r="H98" i="6"/>
  <c r="AI93" i="6"/>
  <c r="AI91" i="6"/>
  <c r="AI92" i="6" s="1"/>
  <c r="M97" i="6"/>
  <c r="O10" i="8"/>
  <c r="DR6" i="22" l="1"/>
  <c r="AZ6" i="9"/>
  <c r="L133" i="5" l="1"/>
  <c r="M6" i="13" l="1"/>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5" i="13"/>
  <c r="N6" i="13" l="1"/>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22" i="13"/>
  <c r="N123" i="13"/>
  <c r="N124" i="13"/>
  <c r="N125" i="13"/>
  <c r="N126" i="13"/>
  <c r="N127" i="13"/>
  <c r="N128" i="13"/>
  <c r="N129" i="13"/>
  <c r="N130" i="13"/>
  <c r="N131" i="13"/>
  <c r="N132" i="13"/>
  <c r="N133" i="13"/>
  <c r="N134" i="13"/>
  <c r="N135" i="13"/>
  <c r="N136" i="13"/>
  <c r="N137" i="13"/>
  <c r="N138" i="13"/>
  <c r="N139" i="13"/>
  <c r="N140" i="13"/>
  <c r="N141" i="13"/>
  <c r="N142" i="13"/>
  <c r="N143" i="13"/>
  <c r="N144" i="13"/>
  <c r="N145" i="13"/>
  <c r="N146" i="13"/>
  <c r="N147" i="13"/>
  <c r="N148" i="13"/>
  <c r="N149" i="13"/>
  <c r="N150" i="13"/>
  <c r="N151" i="13"/>
  <c r="N152" i="13"/>
  <c r="N153" i="13"/>
  <c r="N154" i="13"/>
  <c r="N155" i="13"/>
  <c r="N156" i="13"/>
  <c r="N157" i="13"/>
  <c r="N158" i="13"/>
  <c r="N159" i="13"/>
  <c r="N160" i="13"/>
  <c r="N161" i="13"/>
  <c r="N162" i="13"/>
  <c r="N163" i="13"/>
  <c r="N164" i="13"/>
  <c r="N165" i="13"/>
  <c r="N166" i="13"/>
  <c r="N167" i="13"/>
  <c r="N168" i="13"/>
  <c r="N169" i="13"/>
  <c r="N170" i="13"/>
  <c r="N171" i="13"/>
  <c r="N172" i="13"/>
  <c r="N173" i="13"/>
  <c r="N174" i="13"/>
  <c r="N175" i="13"/>
  <c r="N176" i="13"/>
  <c r="N177" i="13"/>
  <c r="N178" i="13"/>
  <c r="N179" i="13"/>
  <c r="N180" i="13"/>
  <c r="N181" i="13"/>
  <c r="N182" i="13"/>
  <c r="N183" i="13"/>
  <c r="N184" i="13"/>
  <c r="N185" i="13"/>
  <c r="N186" i="13"/>
  <c r="N187" i="13"/>
  <c r="N188" i="13"/>
  <c r="N189" i="13"/>
  <c r="N190" i="13"/>
  <c r="N191" i="13"/>
  <c r="N192" i="13"/>
  <c r="N193" i="13"/>
  <c r="N194" i="13"/>
  <c r="N195" i="13"/>
  <c r="N196" i="13"/>
  <c r="N197" i="13"/>
  <c r="N198" i="13"/>
  <c r="N199" i="13"/>
  <c r="N200" i="13"/>
  <c r="N201" i="13"/>
  <c r="N202" i="13"/>
  <c r="N203" i="13"/>
  <c r="N204" i="13"/>
  <c r="N205" i="13"/>
  <c r="N206" i="13"/>
  <c r="N207" i="13"/>
  <c r="N208" i="13"/>
  <c r="N209" i="13"/>
  <c r="N210" i="13"/>
  <c r="N211" i="13"/>
  <c r="N212" i="13"/>
  <c r="N213" i="13"/>
  <c r="N214" i="13"/>
  <c r="N215" i="13"/>
  <c r="N216" i="13"/>
  <c r="N217" i="13"/>
  <c r="N218" i="13"/>
  <c r="N219" i="13"/>
  <c r="N220" i="13"/>
  <c r="N221" i="13"/>
  <c r="N222" i="13"/>
  <c r="N223" i="13"/>
  <c r="N224" i="13"/>
  <c r="N225" i="13"/>
  <c r="N226" i="13"/>
  <c r="N227" i="13"/>
  <c r="N228" i="13"/>
  <c r="N229" i="13"/>
  <c r="N230" i="13"/>
  <c r="N231" i="13"/>
  <c r="N232" i="13"/>
  <c r="N233" i="13"/>
  <c r="N234" i="13"/>
  <c r="N235" i="13"/>
  <c r="N236" i="13"/>
  <c r="N237" i="13"/>
  <c r="N238" i="13"/>
  <c r="N239" i="13"/>
  <c r="N240" i="13"/>
  <c r="N241" i="13"/>
  <c r="N242" i="13"/>
  <c r="N243" i="13"/>
  <c r="N244" i="13"/>
  <c r="N245" i="13"/>
  <c r="N246" i="13"/>
  <c r="N247" i="13"/>
  <c r="N248" i="13"/>
  <c r="N249" i="13"/>
  <c r="N250" i="13"/>
  <c r="N251" i="13"/>
  <c r="N252" i="13"/>
  <c r="N253" i="13"/>
  <c r="N254" i="13"/>
  <c r="N255" i="13"/>
  <c r="N256" i="13"/>
  <c r="N257" i="13"/>
  <c r="N258" i="13"/>
  <c r="N259" i="13"/>
  <c r="N260" i="13"/>
  <c r="N261" i="13"/>
  <c r="N262" i="13"/>
  <c r="N263" i="13"/>
  <c r="N264" i="13"/>
  <c r="N265" i="13"/>
  <c r="N266" i="13"/>
  <c r="N267" i="13"/>
  <c r="N268" i="13"/>
  <c r="N269" i="13"/>
  <c r="N270" i="13"/>
  <c r="N271" i="13"/>
  <c r="N272" i="13"/>
  <c r="N273" i="13"/>
  <c r="N274" i="13"/>
  <c r="N275" i="13"/>
  <c r="N276" i="13"/>
  <c r="N277" i="13"/>
  <c r="N278" i="13"/>
  <c r="N279" i="13"/>
  <c r="N280" i="13"/>
  <c r="N281" i="13"/>
  <c r="N282" i="13"/>
  <c r="N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5" i="13"/>
  <c r="AZ7" i="9"/>
  <c r="AZ8" i="9"/>
  <c r="AZ9" i="9"/>
  <c r="AZ10" i="9"/>
  <c r="AZ11" i="9"/>
  <c r="AZ12" i="9"/>
  <c r="AZ13" i="9"/>
  <c r="AZ14" i="9"/>
  <c r="AZ15" i="9"/>
  <c r="AZ16" i="9"/>
  <c r="AZ17" i="9"/>
  <c r="AZ18" i="9"/>
  <c r="AZ19" i="9"/>
  <c r="AZ20" i="9"/>
  <c r="AZ21" i="9"/>
  <c r="AZ22" i="9"/>
  <c r="AZ23" i="9"/>
  <c r="AZ24" i="9"/>
  <c r="AZ25" i="9"/>
  <c r="AZ26" i="9"/>
  <c r="AZ27" i="9"/>
  <c r="AZ28" i="9"/>
  <c r="AZ29" i="9"/>
  <c r="AZ30" i="9"/>
  <c r="AZ31" i="9"/>
  <c r="AZ32" i="9"/>
  <c r="AZ33" i="9"/>
  <c r="AZ34" i="9"/>
  <c r="AZ35" i="9"/>
  <c r="AZ36" i="9"/>
  <c r="AZ37" i="9"/>
  <c r="AZ38" i="9"/>
  <c r="AZ39" i="9"/>
  <c r="AZ40" i="9"/>
  <c r="AZ41" i="9"/>
  <c r="AZ42" i="9"/>
  <c r="AZ43" i="9"/>
  <c r="AZ44" i="9"/>
  <c r="AZ45" i="9"/>
  <c r="AZ46" i="9"/>
  <c r="AZ47" i="9"/>
  <c r="AZ48" i="9"/>
  <c r="AZ49" i="9"/>
  <c r="AZ50" i="9"/>
  <c r="AZ51" i="9"/>
  <c r="AZ52" i="9"/>
  <c r="AZ53" i="9"/>
  <c r="AZ54" i="9"/>
  <c r="AZ55" i="9"/>
  <c r="AZ56" i="9"/>
  <c r="AZ57" i="9"/>
  <c r="AZ58" i="9"/>
  <c r="AZ59" i="9"/>
  <c r="AZ60" i="9"/>
  <c r="AZ61" i="9"/>
  <c r="AZ62" i="9"/>
  <c r="AZ63" i="9"/>
  <c r="AZ64" i="9"/>
  <c r="AZ65" i="9"/>
  <c r="AZ66" i="9"/>
  <c r="AZ67" i="9"/>
  <c r="AZ68" i="9"/>
  <c r="AZ69" i="9"/>
  <c r="AZ70" i="9"/>
  <c r="AZ71" i="9"/>
  <c r="AZ72" i="9"/>
  <c r="AZ73" i="9"/>
  <c r="AZ74" i="9"/>
  <c r="AZ75" i="9"/>
  <c r="AZ76" i="9"/>
  <c r="AZ77" i="9"/>
  <c r="AZ78" i="9"/>
  <c r="AZ79" i="9"/>
  <c r="AZ80" i="9"/>
  <c r="AZ81" i="9"/>
  <c r="AZ82" i="9"/>
  <c r="AZ83" i="9"/>
  <c r="AZ84" i="9"/>
  <c r="AZ85" i="9"/>
  <c r="AZ86" i="9"/>
  <c r="AZ87" i="9"/>
  <c r="AZ88" i="9"/>
  <c r="AZ89" i="9"/>
  <c r="AZ90" i="9"/>
  <c r="AZ91" i="9"/>
  <c r="AZ92" i="9"/>
  <c r="AZ93" i="9"/>
  <c r="AZ94" i="9"/>
  <c r="AZ95" i="9"/>
  <c r="AZ96" i="9"/>
  <c r="AZ97" i="9"/>
  <c r="AZ98" i="9"/>
  <c r="AZ99" i="9"/>
  <c r="AZ100" i="9"/>
  <c r="AZ101" i="9"/>
  <c r="AZ102" i="9"/>
  <c r="AZ103" i="9"/>
  <c r="AZ104" i="9"/>
  <c r="AZ105" i="9"/>
  <c r="AZ106" i="9"/>
  <c r="AZ107" i="9"/>
  <c r="AZ108" i="9"/>
  <c r="AZ109" i="9"/>
  <c r="AZ110" i="9"/>
  <c r="AZ111" i="9"/>
  <c r="AZ112" i="9"/>
  <c r="AZ113" i="9"/>
  <c r="AZ114" i="9"/>
  <c r="AZ115" i="9"/>
  <c r="AZ116" i="9"/>
  <c r="AZ117" i="9"/>
  <c r="AZ118" i="9"/>
  <c r="AZ119" i="9"/>
  <c r="AZ120" i="9"/>
  <c r="AZ121" i="9"/>
  <c r="AZ122" i="9"/>
  <c r="AZ123" i="9"/>
  <c r="AZ124" i="9"/>
  <c r="AZ125" i="9"/>
  <c r="AZ126" i="9"/>
  <c r="AZ127" i="9"/>
  <c r="AZ128" i="9"/>
  <c r="AZ129" i="9"/>
  <c r="AZ130" i="9"/>
  <c r="AZ131" i="9"/>
  <c r="AZ132" i="9"/>
  <c r="AZ133" i="9"/>
  <c r="AZ134" i="9"/>
  <c r="AZ135" i="9"/>
  <c r="AZ136" i="9"/>
  <c r="AZ137" i="9"/>
  <c r="AZ138" i="9"/>
  <c r="AZ139" i="9"/>
  <c r="AZ140" i="9"/>
  <c r="AZ141" i="9"/>
  <c r="AZ142" i="9"/>
  <c r="AZ143" i="9"/>
  <c r="AZ144" i="9"/>
  <c r="AZ145" i="9"/>
  <c r="AZ146" i="9"/>
  <c r="AZ147" i="9"/>
  <c r="AZ148" i="9"/>
  <c r="AZ149" i="9"/>
  <c r="AZ150" i="9"/>
  <c r="AZ151" i="9"/>
  <c r="AZ152" i="9"/>
  <c r="AZ153" i="9"/>
  <c r="AZ154" i="9"/>
  <c r="AZ155" i="9"/>
  <c r="AZ156" i="9"/>
  <c r="AZ157" i="9"/>
  <c r="AZ158" i="9"/>
  <c r="AZ159" i="9"/>
  <c r="AZ160" i="9"/>
  <c r="AZ161" i="9"/>
  <c r="AZ162" i="9"/>
  <c r="AZ163" i="9"/>
  <c r="AZ164" i="9"/>
  <c r="AZ165" i="9"/>
  <c r="AZ166" i="9"/>
  <c r="AZ167" i="9"/>
  <c r="AZ168" i="9"/>
  <c r="AZ169" i="9"/>
  <c r="AZ170" i="9"/>
  <c r="AZ171" i="9"/>
  <c r="AZ172" i="9"/>
  <c r="AZ173" i="9"/>
  <c r="AZ174" i="9"/>
  <c r="AZ175" i="9"/>
  <c r="AZ176" i="9"/>
  <c r="AZ177" i="9"/>
  <c r="AZ178" i="9"/>
  <c r="AZ179" i="9"/>
  <c r="AZ180" i="9"/>
  <c r="AZ181" i="9"/>
  <c r="AZ182" i="9"/>
  <c r="AZ183" i="9"/>
  <c r="AZ184" i="9"/>
  <c r="AZ185" i="9"/>
  <c r="AZ186" i="9"/>
  <c r="AZ187" i="9"/>
  <c r="AZ188" i="9"/>
  <c r="AZ189" i="9"/>
  <c r="AZ190" i="9"/>
  <c r="AZ191" i="9"/>
  <c r="AZ192" i="9"/>
  <c r="AZ193" i="9"/>
  <c r="AZ194" i="9"/>
  <c r="AZ195" i="9"/>
  <c r="AZ196" i="9"/>
  <c r="AZ197" i="9"/>
  <c r="AZ198" i="9"/>
  <c r="AZ199" i="9"/>
  <c r="AZ200" i="9"/>
  <c r="AZ201" i="9"/>
  <c r="AZ202" i="9"/>
  <c r="AZ203" i="9"/>
  <c r="AZ204" i="9"/>
  <c r="AZ205" i="9"/>
  <c r="AZ206" i="9"/>
  <c r="AZ207" i="9"/>
  <c r="AZ208" i="9"/>
  <c r="AZ209" i="9"/>
  <c r="AZ210" i="9"/>
  <c r="AZ211" i="9"/>
  <c r="AZ212" i="9"/>
  <c r="AZ213" i="9"/>
  <c r="AZ214" i="9"/>
  <c r="AZ215" i="9"/>
  <c r="AZ216" i="9"/>
  <c r="AZ217" i="9"/>
  <c r="AZ218" i="9"/>
  <c r="AZ219" i="9"/>
  <c r="AZ220" i="9"/>
  <c r="AZ221" i="9"/>
  <c r="AZ222" i="9"/>
  <c r="AZ223" i="9"/>
  <c r="AZ224" i="9"/>
  <c r="AZ225" i="9"/>
  <c r="AZ226" i="9"/>
  <c r="AZ227" i="9"/>
  <c r="AZ228" i="9"/>
  <c r="AZ229" i="9"/>
  <c r="AZ230" i="9"/>
  <c r="AZ231" i="9"/>
  <c r="AZ232" i="9"/>
  <c r="AZ233" i="9"/>
  <c r="AZ234" i="9"/>
  <c r="AZ235" i="9"/>
  <c r="AZ236" i="9"/>
  <c r="AZ237" i="9"/>
  <c r="AZ238" i="9"/>
  <c r="AZ239" i="9"/>
  <c r="AZ240" i="9"/>
  <c r="AZ241" i="9"/>
  <c r="AZ242" i="9"/>
  <c r="AZ243" i="9"/>
  <c r="AZ244" i="9"/>
  <c r="AZ245" i="9"/>
  <c r="AZ246" i="9"/>
  <c r="AZ247" i="9"/>
  <c r="AZ248" i="9"/>
  <c r="AZ249" i="9"/>
  <c r="AZ250" i="9"/>
  <c r="AZ251" i="9"/>
  <c r="AZ252" i="9"/>
  <c r="AZ253" i="9"/>
  <c r="AZ254" i="9"/>
  <c r="AZ255" i="9"/>
  <c r="AZ256" i="9"/>
  <c r="AZ257" i="9"/>
  <c r="AZ258" i="9"/>
  <c r="AZ259" i="9"/>
  <c r="AZ260" i="9"/>
  <c r="AZ261" i="9"/>
  <c r="AZ262" i="9"/>
  <c r="AZ263" i="9"/>
  <c r="AZ264" i="9"/>
  <c r="AZ265" i="9"/>
  <c r="AZ266" i="9"/>
  <c r="AZ267" i="9"/>
  <c r="AZ268" i="9"/>
  <c r="AZ269" i="9"/>
  <c r="AZ270" i="9"/>
  <c r="AZ271" i="9"/>
  <c r="AZ272" i="9"/>
  <c r="AZ273" i="9"/>
  <c r="AZ274" i="9"/>
  <c r="AZ275" i="9"/>
  <c r="AZ276" i="9"/>
  <c r="AZ277" i="9"/>
  <c r="AZ278" i="9"/>
  <c r="AZ279" i="9"/>
  <c r="AZ280" i="9"/>
  <c r="AZ281" i="9"/>
  <c r="AZ5" i="9"/>
  <c r="AD139" i="4"/>
  <c r="AA146" i="4"/>
  <c r="AB146" i="4" s="1"/>
  <c r="AA147" i="4"/>
  <c r="AB147" i="4" s="1"/>
  <c r="AA148" i="4"/>
  <c r="AB148" i="4" s="1"/>
  <c r="AA149" i="4"/>
  <c r="AB149" i="4" s="1"/>
  <c r="AA150" i="4"/>
  <c r="AB150" i="4" s="1"/>
  <c r="AA151" i="4"/>
  <c r="AB151" i="4" s="1"/>
  <c r="AA152" i="4"/>
  <c r="AB152" i="4" s="1"/>
  <c r="AA153" i="4"/>
  <c r="AB153" i="4" s="1"/>
  <c r="AA154" i="4"/>
  <c r="AB154" i="4" s="1"/>
  <c r="AA155" i="4"/>
  <c r="AB155" i="4" s="1"/>
  <c r="AA156" i="4"/>
  <c r="AB156" i="4" s="1"/>
  <c r="AA157" i="4"/>
  <c r="AB157" i="4" s="1"/>
  <c r="AA144" i="4"/>
  <c r="AB144" i="4" s="1"/>
  <c r="AA145" i="4"/>
  <c r="AB145" i="4" s="1"/>
  <c r="AA143" i="4"/>
  <c r="AQ8" i="9"/>
  <c r="AR8" i="9"/>
  <c r="AS8" i="9"/>
  <c r="AT8" i="9"/>
  <c r="AU8" i="9"/>
  <c r="AQ9" i="9"/>
  <c r="AR9" i="9"/>
  <c r="AS9" i="9"/>
  <c r="AT9" i="9"/>
  <c r="AU9" i="9"/>
  <c r="AQ10" i="9"/>
  <c r="AR10" i="9"/>
  <c r="AS10" i="9"/>
  <c r="AT10" i="9"/>
  <c r="AU10" i="9"/>
  <c r="AQ11" i="9"/>
  <c r="AR11" i="9"/>
  <c r="AS11" i="9"/>
  <c r="AT11" i="9"/>
  <c r="AU11" i="9"/>
  <c r="AQ12" i="9"/>
  <c r="AR12" i="9"/>
  <c r="AS12" i="9"/>
  <c r="AT12" i="9"/>
  <c r="AU12" i="9"/>
  <c r="AP12" i="9"/>
  <c r="AP11" i="9"/>
  <c r="AP10" i="9"/>
  <c r="AP9" i="9"/>
  <c r="AP8" i="9"/>
  <c r="H96" i="6" l="1"/>
  <c r="DO6" i="22" s="1"/>
  <c r="H97" i="6"/>
  <c r="Z146" i="4"/>
  <c r="Z154" i="4"/>
  <c r="Z147" i="4"/>
  <c r="Z155" i="4"/>
  <c r="Z145" i="4"/>
  <c r="Z148" i="4"/>
  <c r="Z156" i="4"/>
  <c r="Z144" i="4"/>
  <c r="Z149" i="4"/>
  <c r="Z157" i="4"/>
  <c r="Z152" i="4"/>
  <c r="Z153" i="4"/>
  <c r="Z150" i="4"/>
  <c r="Z151" i="4"/>
  <c r="AB143" i="4"/>
  <c r="Z143" i="4" s="1"/>
  <c r="Y144" i="4"/>
  <c r="Y148" i="4"/>
  <c r="Y156" i="4"/>
  <c r="Y150" i="4"/>
  <c r="Y149" i="4"/>
  <c r="Y157" i="4"/>
  <c r="Y151" i="4"/>
  <c r="Y152" i="4"/>
  <c r="Y153" i="4"/>
  <c r="Y155" i="4"/>
  <c r="Y146" i="4"/>
  <c r="Y154" i="4"/>
  <c r="Y147" i="4"/>
  <c r="Y145" i="4"/>
  <c r="W25" i="9"/>
  <c r="V25" i="9"/>
  <c r="W24" i="9"/>
  <c r="V24" i="9"/>
  <c r="W23" i="9"/>
  <c r="W22" i="9"/>
  <c r="V22" i="9"/>
  <c r="W21" i="9"/>
  <c r="W20" i="9"/>
  <c r="V20" i="9"/>
  <c r="W19" i="9"/>
  <c r="V19" i="9"/>
  <c r="W18" i="9"/>
  <c r="V18" i="9"/>
  <c r="W17" i="9"/>
  <c r="W16" i="9"/>
  <c r="V16" i="9"/>
  <c r="W15" i="9"/>
  <c r="V15" i="9"/>
  <c r="W14" i="9"/>
  <c r="V14" i="9"/>
  <c r="W11" i="9"/>
  <c r="V11" i="9"/>
  <c r="W10" i="9"/>
  <c r="V10" i="9"/>
  <c r="W9" i="9"/>
  <c r="W8" i="9"/>
  <c r="V8" i="9"/>
  <c r="W7" i="9"/>
  <c r="U25" i="9"/>
  <c r="U24" i="9"/>
  <c r="V23" i="9"/>
  <c r="U23" i="9"/>
  <c r="U22" i="9"/>
  <c r="V21" i="9"/>
  <c r="U21" i="9"/>
  <c r="U20" i="9"/>
  <c r="U19" i="9"/>
  <c r="U18" i="9"/>
  <c r="V17" i="9"/>
  <c r="U17" i="9"/>
  <c r="U16" i="9"/>
  <c r="U15" i="9"/>
  <c r="U14" i="9"/>
  <c r="W13" i="9"/>
  <c r="V13" i="9"/>
  <c r="U13" i="9"/>
  <c r="W12" i="9"/>
  <c r="V12" i="9"/>
  <c r="U12" i="9"/>
  <c r="U11" i="9"/>
  <c r="U10" i="9"/>
  <c r="V9" i="9"/>
  <c r="U9" i="9"/>
  <c r="U8" i="9"/>
  <c r="V7" i="9"/>
  <c r="U7" i="9"/>
  <c r="U6" i="9"/>
  <c r="U5" i="9"/>
  <c r="Z32" i="10"/>
  <c r="Z31" i="10"/>
  <c r="Z30" i="10"/>
  <c r="Z29" i="10"/>
  <c r="Z27" i="10"/>
  <c r="L32" i="10"/>
  <c r="L31" i="10"/>
  <c r="L29" i="10"/>
  <c r="Z16" i="10"/>
  <c r="Z14" i="10"/>
  <c r="Z11" i="10"/>
  <c r="Z10" i="10"/>
  <c r="L17" i="10"/>
  <c r="L16" i="10"/>
  <c r="L15" i="10"/>
  <c r="L14" i="10"/>
  <c r="L13" i="10"/>
  <c r="L12" i="10"/>
  <c r="L11" i="10"/>
  <c r="L10" i="10"/>
  <c r="Z6" i="9" l="1"/>
  <c r="AA6" i="9"/>
  <c r="X6" i="9"/>
  <c r="Y6" i="9"/>
  <c r="AA7" i="9"/>
  <c r="Z7" i="9"/>
  <c r="X7" i="9"/>
  <c r="Y7" i="9"/>
  <c r="AE12" i="9"/>
  <c r="AC12" i="9"/>
  <c r="AB12" i="9"/>
  <c r="AD12" i="9"/>
  <c r="X17" i="9"/>
  <c r="Y17" i="9"/>
  <c r="AA17" i="9"/>
  <c r="Z17" i="9"/>
  <c r="AA23" i="9"/>
  <c r="Z23" i="9"/>
  <c r="X23" i="9"/>
  <c r="Y23" i="9"/>
  <c r="AE10" i="9"/>
  <c r="AD10" i="9"/>
  <c r="AB10" i="9"/>
  <c r="AC10" i="9"/>
  <c r="AE16" i="9"/>
  <c r="AD16" i="9"/>
  <c r="AC16" i="9"/>
  <c r="AB16" i="9"/>
  <c r="AF20" i="9"/>
  <c r="AI20" i="9"/>
  <c r="AG20" i="9"/>
  <c r="AH20" i="9"/>
  <c r="AF25" i="9"/>
  <c r="AH25" i="9"/>
  <c r="AG25" i="9"/>
  <c r="AI25" i="9"/>
  <c r="X13" i="9"/>
  <c r="Y13" i="9"/>
  <c r="AA13" i="9"/>
  <c r="Z13" i="9"/>
  <c r="Z18" i="9"/>
  <c r="AA18" i="9"/>
  <c r="X18" i="9"/>
  <c r="Y18" i="9"/>
  <c r="Z24" i="9"/>
  <c r="X24" i="9"/>
  <c r="AA24" i="9"/>
  <c r="Y24" i="9"/>
  <c r="AB11" i="9"/>
  <c r="AD11" i="9"/>
  <c r="AC11" i="9"/>
  <c r="AE11" i="9"/>
  <c r="AF17" i="9"/>
  <c r="AH17" i="9"/>
  <c r="AG17" i="9"/>
  <c r="AI17" i="9"/>
  <c r="AE22" i="9"/>
  <c r="AD22" i="9"/>
  <c r="AB22" i="9"/>
  <c r="AC22" i="9"/>
  <c r="X9" i="9"/>
  <c r="Y9" i="9"/>
  <c r="Z9" i="9"/>
  <c r="AA9" i="9"/>
  <c r="AB13" i="9"/>
  <c r="AC13" i="9"/>
  <c r="AD13" i="9"/>
  <c r="AE13" i="9"/>
  <c r="AA19" i="9"/>
  <c r="Z19" i="9"/>
  <c r="X19" i="9"/>
  <c r="Y19" i="9"/>
  <c r="X25" i="9"/>
  <c r="Y25" i="9"/>
  <c r="Z25" i="9"/>
  <c r="AA25" i="9"/>
  <c r="AF11" i="9"/>
  <c r="AI11" i="9"/>
  <c r="AG11" i="9"/>
  <c r="AH11" i="9"/>
  <c r="AE18" i="9"/>
  <c r="AD18" i="9"/>
  <c r="AB18" i="9"/>
  <c r="AC18" i="9"/>
  <c r="AF22" i="9"/>
  <c r="AG22" i="9"/>
  <c r="AI22" i="9"/>
  <c r="AH22" i="9"/>
  <c r="AB7" i="9"/>
  <c r="AC7" i="9"/>
  <c r="AD7" i="9"/>
  <c r="AE7" i="9"/>
  <c r="AI21" i="9"/>
  <c r="AF21" i="9"/>
  <c r="AH21" i="9"/>
  <c r="AG21" i="9"/>
  <c r="Y8" i="9"/>
  <c r="Z8" i="9"/>
  <c r="X8" i="9"/>
  <c r="AA8" i="9"/>
  <c r="AD9" i="9"/>
  <c r="AB9" i="9"/>
  <c r="AC9" i="9"/>
  <c r="AE9" i="9"/>
  <c r="AI13" i="9"/>
  <c r="AF13" i="9"/>
  <c r="AH13" i="9"/>
  <c r="AG13" i="9"/>
  <c r="Y20" i="9"/>
  <c r="Z20" i="9"/>
  <c r="AA20" i="9"/>
  <c r="X20" i="9"/>
  <c r="AF7" i="9"/>
  <c r="AG7" i="9"/>
  <c r="AH7" i="9"/>
  <c r="AI7" i="9"/>
  <c r="AE14" i="9"/>
  <c r="AD14" i="9"/>
  <c r="AB14" i="9"/>
  <c r="AC14" i="9"/>
  <c r="AF18" i="9"/>
  <c r="AG18" i="9"/>
  <c r="AI18" i="9"/>
  <c r="AH18" i="9"/>
  <c r="AI23" i="9"/>
  <c r="AF23" i="9"/>
  <c r="AG23" i="9"/>
  <c r="AH23" i="9"/>
  <c r="AB17" i="9"/>
  <c r="AD17" i="9"/>
  <c r="AC17" i="9"/>
  <c r="AE17" i="9"/>
  <c r="AF10" i="9"/>
  <c r="AG10" i="9"/>
  <c r="AH10" i="9"/>
  <c r="AI10" i="9"/>
  <c r="Z10" i="9"/>
  <c r="AA10" i="9"/>
  <c r="Y10" i="9"/>
  <c r="X10" i="9"/>
  <c r="Z14" i="9"/>
  <c r="Y14" i="9"/>
  <c r="AA14" i="9"/>
  <c r="X14" i="9"/>
  <c r="X21" i="9"/>
  <c r="AA21" i="9"/>
  <c r="Y21" i="9"/>
  <c r="Z21" i="9"/>
  <c r="AE8" i="9"/>
  <c r="AD8" i="9"/>
  <c r="AC8" i="9"/>
  <c r="AB8" i="9"/>
  <c r="AF14" i="9"/>
  <c r="AG14" i="9"/>
  <c r="AI14" i="9"/>
  <c r="AH14" i="9"/>
  <c r="AD19" i="9"/>
  <c r="AB19" i="9"/>
  <c r="AC19" i="9"/>
  <c r="AE19" i="9"/>
  <c r="AE24" i="9"/>
  <c r="AC24" i="9"/>
  <c r="AD24" i="9"/>
  <c r="AB24" i="9"/>
  <c r="AA5" i="9"/>
  <c r="X5" i="9"/>
  <c r="Z5" i="9"/>
  <c r="Y5" i="9"/>
  <c r="Z11" i="9"/>
  <c r="AA11" i="9"/>
  <c r="X11" i="9"/>
  <c r="Y11" i="9"/>
  <c r="AA15" i="9"/>
  <c r="Z15" i="9"/>
  <c r="X15" i="9"/>
  <c r="Y15" i="9"/>
  <c r="AB21" i="9"/>
  <c r="AC21" i="9"/>
  <c r="AD21" i="9"/>
  <c r="AE21" i="9"/>
  <c r="AF8" i="9"/>
  <c r="AG8" i="9"/>
  <c r="AI8" i="9"/>
  <c r="AH8" i="9"/>
  <c r="AD15" i="9"/>
  <c r="AB15" i="9"/>
  <c r="AC15" i="9"/>
  <c r="AE15" i="9"/>
  <c r="AF19" i="9"/>
  <c r="AI19" i="9"/>
  <c r="AG19" i="9"/>
  <c r="AH19" i="9"/>
  <c r="AF24" i="9"/>
  <c r="AI24" i="9"/>
  <c r="AG24" i="9"/>
  <c r="AH24" i="9"/>
  <c r="AF12" i="9"/>
  <c r="AI12" i="9"/>
  <c r="AG12" i="9"/>
  <c r="AH12" i="9"/>
  <c r="AB23" i="9"/>
  <c r="AD23" i="9"/>
  <c r="AC23" i="9"/>
  <c r="AE23" i="9"/>
  <c r="AF16" i="9"/>
  <c r="AI16" i="9"/>
  <c r="AG16" i="9"/>
  <c r="AH16" i="9"/>
  <c r="Y12" i="9"/>
  <c r="Z12" i="9"/>
  <c r="AA12" i="9"/>
  <c r="X12" i="9"/>
  <c r="Z16" i="9"/>
  <c r="X16" i="9"/>
  <c r="Y16" i="9"/>
  <c r="AA16" i="9"/>
  <c r="Z22" i="9"/>
  <c r="AA22" i="9"/>
  <c r="Y22" i="9"/>
  <c r="X22" i="9"/>
  <c r="AI9" i="9"/>
  <c r="AF9" i="9"/>
  <c r="AH9" i="9"/>
  <c r="AG9" i="9"/>
  <c r="AI15" i="9"/>
  <c r="AF15" i="9"/>
  <c r="AG15" i="9"/>
  <c r="AH15" i="9"/>
  <c r="AE20" i="9"/>
  <c r="AC20" i="9"/>
  <c r="AB20" i="9"/>
  <c r="AD20" i="9"/>
  <c r="AD25" i="9"/>
  <c r="AB25" i="9"/>
  <c r="AC25" i="9"/>
  <c r="AE25" i="9"/>
  <c r="DP6" i="22"/>
  <c r="L20" i="10"/>
  <c r="Y143" i="4"/>
  <c r="AD156" i="4"/>
  <c r="AC156" i="4"/>
  <c r="AK156" i="4"/>
  <c r="AF156" i="4"/>
  <c r="AE156" i="4"/>
  <c r="AJ156" i="4"/>
  <c r="AI156" i="4"/>
  <c r="AH156" i="4"/>
  <c r="AI143" i="4"/>
  <c r="AH143" i="4"/>
  <c r="AF143" i="4"/>
  <c r="AE143" i="4"/>
  <c r="AD143" i="4"/>
  <c r="AC143" i="4"/>
  <c r="AK143" i="4"/>
  <c r="AJ143" i="4"/>
  <c r="AD148" i="4"/>
  <c r="AC148" i="4"/>
  <c r="AF148" i="4"/>
  <c r="AK148" i="4"/>
  <c r="AE148" i="4"/>
  <c r="AJ148" i="4"/>
  <c r="AI148" i="4"/>
  <c r="AH148" i="4"/>
  <c r="AD150" i="4"/>
  <c r="AC150" i="4"/>
  <c r="AK150" i="4"/>
  <c r="AJ150" i="4"/>
  <c r="AF150" i="4"/>
  <c r="AE150" i="4"/>
  <c r="AI150" i="4"/>
  <c r="AH150" i="4"/>
  <c r="AI145" i="4"/>
  <c r="AH145" i="4"/>
  <c r="AJ145" i="4"/>
  <c r="AF145" i="4"/>
  <c r="AE145" i="4"/>
  <c r="AD145" i="4"/>
  <c r="AC145" i="4"/>
  <c r="AK145" i="4"/>
  <c r="AD144" i="4"/>
  <c r="AE144" i="4"/>
  <c r="AC144" i="4"/>
  <c r="AK144" i="4"/>
  <c r="AJ144" i="4"/>
  <c r="AI144" i="4"/>
  <c r="AH144" i="4"/>
  <c r="AF144" i="4"/>
  <c r="AI153" i="4"/>
  <c r="AH153" i="4"/>
  <c r="AJ153" i="4"/>
  <c r="AF153" i="4"/>
  <c r="AK153" i="4"/>
  <c r="AE153" i="4"/>
  <c r="AD153" i="4"/>
  <c r="AC153" i="4"/>
  <c r="AI155" i="4"/>
  <c r="AK155" i="4"/>
  <c r="AJ155" i="4"/>
  <c r="AH155" i="4"/>
  <c r="AF155" i="4"/>
  <c r="AE155" i="4"/>
  <c r="AD155" i="4"/>
  <c r="AC155" i="4"/>
  <c r="AI151" i="4"/>
  <c r="AH151" i="4"/>
  <c r="AF151" i="4"/>
  <c r="AJ151" i="4"/>
  <c r="AE151" i="4"/>
  <c r="AK151" i="4"/>
  <c r="AD151" i="4"/>
  <c r="AC151" i="4"/>
  <c r="AD152" i="4"/>
  <c r="AE152" i="4"/>
  <c r="AC152" i="4"/>
  <c r="AK152" i="4"/>
  <c r="AF152" i="4"/>
  <c r="AJ152" i="4"/>
  <c r="AI152" i="4"/>
  <c r="AH152" i="4"/>
  <c r="AI147" i="4"/>
  <c r="AJ147" i="4"/>
  <c r="AH147" i="4"/>
  <c r="AF147" i="4"/>
  <c r="AK147" i="4"/>
  <c r="AE147" i="4"/>
  <c r="AD147" i="4"/>
  <c r="AC147" i="4"/>
  <c r="AI157" i="4"/>
  <c r="AH157" i="4"/>
  <c r="AK157" i="4"/>
  <c r="AF157" i="4"/>
  <c r="AE157" i="4"/>
  <c r="AD157" i="4"/>
  <c r="AC157" i="4"/>
  <c r="AJ157" i="4"/>
  <c r="AD154" i="4"/>
  <c r="AC154" i="4"/>
  <c r="AE154" i="4"/>
  <c r="AK154" i="4"/>
  <c r="AJ154" i="4"/>
  <c r="AI154" i="4"/>
  <c r="AH154" i="4"/>
  <c r="AF154" i="4"/>
  <c r="AI149" i="4"/>
  <c r="AH149" i="4"/>
  <c r="AF149" i="4"/>
  <c r="AE149" i="4"/>
  <c r="AJ149" i="4"/>
  <c r="AD149" i="4"/>
  <c r="AC149" i="4"/>
  <c r="AK149" i="4"/>
  <c r="AD146" i="4"/>
  <c r="AF146" i="4"/>
  <c r="AC146" i="4"/>
  <c r="AK146" i="4"/>
  <c r="AJ146" i="4"/>
  <c r="AI146" i="4"/>
  <c r="AH146" i="4"/>
  <c r="AE146" i="4"/>
  <c r="D139" i="8"/>
  <c r="HC6" i="22" s="1"/>
  <c r="K28" i="8"/>
  <c r="L340" i="7"/>
  <c r="L204" i="8" s="1"/>
  <c r="L339" i="7"/>
  <c r="L203" i="8" s="1"/>
  <c r="P81" i="6" l="1"/>
  <c r="N81" i="6"/>
  <c r="R98" i="6" s="1"/>
  <c r="P82" i="6"/>
  <c r="N82" i="6"/>
  <c r="R99" i="6" s="1"/>
  <c r="J81" i="6"/>
  <c r="K46" i="8"/>
  <c r="L82" i="6"/>
  <c r="L81" i="6"/>
  <c r="J82" i="6"/>
  <c r="N168" i="7"/>
  <c r="N175" i="7"/>
  <c r="P175" i="7" s="1"/>
  <c r="N174" i="7"/>
  <c r="P174" i="7" s="1"/>
  <c r="FP6" i="22" s="1"/>
  <c r="N169" i="7"/>
  <c r="N170" i="7"/>
  <c r="N163" i="7"/>
  <c r="FQ6" i="22" s="1"/>
  <c r="J275" i="6"/>
  <c r="O277" i="6" s="1"/>
  <c r="R97" i="6" l="1"/>
  <c r="R96" i="6"/>
  <c r="N46" i="8"/>
  <c r="O152" i="7"/>
  <c r="O151" i="7"/>
  <c r="P170" i="7"/>
  <c r="P169" i="7"/>
  <c r="P168" i="7"/>
  <c r="N181" i="7"/>
  <c r="P181" i="7" s="1"/>
  <c r="N180" i="7"/>
  <c r="U134" i="6"/>
  <c r="U87" i="7"/>
  <c r="S87" i="7"/>
  <c r="S134" i="6"/>
  <c r="R185" i="6"/>
  <c r="EB6" i="22" s="1"/>
  <c r="R184" i="6"/>
  <c r="EA6" i="22" s="1"/>
  <c r="R170" i="6"/>
  <c r="T169" i="6" s="1"/>
  <c r="DT6" i="22" l="1"/>
  <c r="DS6" i="22"/>
  <c r="V6" i="9"/>
  <c r="W5" i="9"/>
  <c r="O247" i="5"/>
  <c r="CW6" i="22" s="1"/>
  <c r="T34" i="5"/>
  <c r="Y34" i="5" s="1"/>
  <c r="BY6" i="22" s="1"/>
  <c r="AA4" i="10"/>
  <c r="Y4" i="8"/>
  <c r="Y4" i="7"/>
  <c r="AB4" i="6"/>
  <c r="AA4" i="5"/>
  <c r="V1" i="4"/>
  <c r="Q145" i="6"/>
  <c r="O26" i="4"/>
  <c r="J270" i="6"/>
  <c r="O272" i="6" s="1"/>
  <c r="L267" i="6"/>
  <c r="AI5" i="9" l="1"/>
  <c r="AH5" i="9"/>
  <c r="AF5" i="9"/>
  <c r="AG5" i="9"/>
  <c r="AE6" i="9"/>
  <c r="AD6" i="9"/>
  <c r="AB6" i="9"/>
  <c r="AC6" i="9"/>
  <c r="O343" i="6"/>
  <c r="J314" i="6"/>
  <c r="P84" i="8"/>
  <c r="Q98" i="7"/>
  <c r="O317" i="7"/>
  <c r="N225" i="6"/>
  <c r="L344" i="7"/>
  <c r="L209" i="8"/>
  <c r="W6" i="9"/>
  <c r="V5" i="9"/>
  <c r="M85" i="8"/>
  <c r="GW6" i="22" s="1"/>
  <c r="AB5" i="9" l="1"/>
  <c r="U135" i="6" s="1"/>
  <c r="Q143" i="6" s="1"/>
  <c r="AE5" i="9"/>
  <c r="S88" i="7" s="1"/>
  <c r="Q95" i="7" s="1"/>
  <c r="AD5" i="9"/>
  <c r="AC5" i="9"/>
  <c r="S135" i="6" s="1"/>
  <c r="AF6" i="9"/>
  <c r="U136" i="6" s="1"/>
  <c r="AI6" i="9"/>
  <c r="S89" i="7" s="1"/>
  <c r="AG6" i="9"/>
  <c r="S136" i="6" s="1"/>
  <c r="AH6" i="9"/>
  <c r="U89" i="7" s="1"/>
  <c r="L352" i="6"/>
  <c r="N352" i="6" s="1"/>
  <c r="FB6" i="22" s="1"/>
  <c r="L351" i="6"/>
  <c r="N351" i="6" s="1"/>
  <c r="FA6" i="22" s="1"/>
  <c r="O344" i="6"/>
  <c r="L350" i="6"/>
  <c r="EW6" i="22" s="1"/>
  <c r="R313" i="7"/>
  <c r="J317" i="6"/>
  <c r="O288" i="7" s="1"/>
  <c r="M307" i="6"/>
  <c r="N227" i="6"/>
  <c r="EE6" i="22" s="1"/>
  <c r="R219" i="6"/>
  <c r="O87" i="8"/>
  <c r="GX6" i="22" s="1"/>
  <c r="U88" i="7"/>
  <c r="P26" i="4"/>
  <c r="Q26" i="4"/>
  <c r="N350" i="6" l="1"/>
  <c r="EZ6" i="22" s="1"/>
  <c r="EY6" i="22"/>
  <c r="EX6" i="22"/>
  <c r="ER6" i="22"/>
  <c r="L317" i="6"/>
  <c r="EU6" i="22" s="1"/>
  <c r="Q142" i="6"/>
  <c r="AH144" i="6" s="1"/>
  <c r="AK144" i="6" s="1"/>
  <c r="Q96" i="7"/>
  <c r="AC97" i="7" s="1"/>
  <c r="L346" i="7"/>
  <c r="L211" i="8" s="1"/>
  <c r="N346" i="7"/>
  <c r="L345" i="7"/>
  <c r="L210" i="8" s="1"/>
  <c r="N345" i="7"/>
  <c r="N210" i="8" s="1"/>
  <c r="O52" i="4"/>
  <c r="Q288" i="7" l="1"/>
  <c r="AI144" i="6"/>
  <c r="AJ144" i="6"/>
  <c r="AD97" i="7"/>
  <c r="AE97" i="7"/>
  <c r="AF97" i="7"/>
  <c r="N211" i="8"/>
  <c r="L277" i="6"/>
  <c r="L272" i="6"/>
  <c r="AG97" i="7" l="1"/>
  <c r="S97" i="7" s="1"/>
  <c r="FK6" i="22" s="1"/>
  <c r="AL144" i="6"/>
  <c r="S144" i="6" s="1"/>
  <c r="DV6" i="22" s="1"/>
  <c r="N160" i="7"/>
  <c r="P171" i="7" s="1"/>
  <c r="FO6" i="22" s="1"/>
  <c r="V44" i="7"/>
  <c r="V46" i="7" s="1"/>
  <c r="S46" i="7"/>
  <c r="P44" i="7"/>
  <c r="P46" i="7" s="1"/>
  <c r="V25" i="7"/>
  <c r="S25" i="7"/>
  <c r="L160" i="8"/>
  <c r="P148" i="8" s="1"/>
  <c r="J123" i="8"/>
  <c r="N118" i="8" s="1"/>
  <c r="R175" i="6"/>
  <c r="R171" i="6"/>
  <c r="K108" i="6"/>
  <c r="L130" i="5"/>
  <c r="I140" i="5"/>
  <c r="T18" i="5"/>
  <c r="T19" i="5"/>
  <c r="T20" i="5"/>
  <c r="T21" i="5"/>
  <c r="T22" i="5"/>
  <c r="T23" i="5"/>
  <c r="T24" i="5"/>
  <c r="W24" i="5" s="1"/>
  <c r="T25" i="5"/>
  <c r="Y25" i="5" s="1"/>
  <c r="BP6" i="22" s="1"/>
  <c r="T26" i="5"/>
  <c r="T27" i="5"/>
  <c r="T28" i="5"/>
  <c r="Y28" i="5" s="1"/>
  <c r="BS6" i="22" s="1"/>
  <c r="T29" i="5"/>
  <c r="Y29" i="5" s="1"/>
  <c r="BT6" i="22" s="1"/>
  <c r="T30" i="5"/>
  <c r="Y30" i="5" s="1"/>
  <c r="BU6" i="22" s="1"/>
  <c r="T31" i="5"/>
  <c r="Y31" i="5" s="1"/>
  <c r="BV6" i="22" s="1"/>
  <c r="T32" i="5"/>
  <c r="Y32" i="5" s="1"/>
  <c r="BW6" i="22" s="1"/>
  <c r="T33" i="5"/>
  <c r="Y33" i="5" s="1"/>
  <c r="BX6" i="22" s="1"/>
  <c r="T17" i="5"/>
  <c r="X34" i="10"/>
  <c r="K183" i="8"/>
  <c r="X30" i="10"/>
  <c r="J203" i="7"/>
  <c r="N121" i="7"/>
  <c r="J313" i="6"/>
  <c r="J312" i="6"/>
  <c r="I180" i="5"/>
  <c r="J17" i="10"/>
  <c r="S10" i="6"/>
  <c r="J16" i="10"/>
  <c r="I199" i="5"/>
  <c r="CP6" i="22" s="1"/>
  <c r="I136" i="5"/>
  <c r="L136" i="5" s="1"/>
  <c r="I135" i="5"/>
  <c r="L135" i="5" s="1"/>
  <c r="I134" i="5"/>
  <c r="L134" i="5" s="1"/>
  <c r="L137" i="5"/>
  <c r="N110" i="5"/>
  <c r="P24" i="4"/>
  <c r="Q24" i="4"/>
  <c r="P52" i="4"/>
  <c r="P22" i="4" l="1"/>
  <c r="N122" i="7"/>
  <c r="P122" i="7" s="1"/>
  <c r="FN6" i="22" s="1"/>
  <c r="FM6" i="22"/>
  <c r="L180" i="5"/>
  <c r="CN6" i="22"/>
  <c r="FX6" i="22"/>
  <c r="J210" i="7"/>
  <c r="FS6" i="22"/>
  <c r="M305" i="6"/>
  <c r="AF46" i="7"/>
  <c r="AF47" i="7"/>
  <c r="Y17" i="5"/>
  <c r="BI6" i="22" s="1"/>
  <c r="W17" i="5"/>
  <c r="W23" i="5"/>
  <c r="Y23" i="5"/>
  <c r="BO6" i="22" s="1"/>
  <c r="Y22" i="5"/>
  <c r="BN6" i="22" s="1"/>
  <c r="W22" i="5"/>
  <c r="Y21" i="5"/>
  <c r="BM6" i="22" s="1"/>
  <c r="W21" i="5"/>
  <c r="Y18" i="5"/>
  <c r="BJ6" i="22" s="1"/>
  <c r="W18" i="5"/>
  <c r="Y20" i="5"/>
  <c r="BL6" i="22" s="1"/>
  <c r="W20" i="5"/>
  <c r="Y26" i="5"/>
  <c r="BQ6" i="22" s="1"/>
  <c r="W26" i="5"/>
  <c r="W27" i="5"/>
  <c r="Y27" i="5"/>
  <c r="BR6" i="22" s="1"/>
  <c r="W19" i="5"/>
  <c r="Y19" i="5"/>
  <c r="BK6" i="22" s="1"/>
  <c r="P177" i="7"/>
  <c r="O143" i="7"/>
  <c r="J316" i="6"/>
  <c r="EQ6" i="22" s="1"/>
  <c r="M306" i="6"/>
  <c r="J315" i="6"/>
  <c r="EP6" i="22" s="1"/>
  <c r="R176" i="6"/>
  <c r="T174" i="6"/>
  <c r="S11" i="6"/>
  <c r="P23" i="6"/>
  <c r="P22" i="6"/>
  <c r="N171" i="7"/>
  <c r="K184" i="8"/>
  <c r="HF6" i="22" s="1"/>
  <c r="D253" i="6"/>
  <c r="EJ6" i="22" s="1"/>
  <c r="L199" i="5"/>
  <c r="O24" i="4"/>
  <c r="J124" i="8"/>
  <c r="GZ6" i="22" s="1"/>
  <c r="L161" i="8"/>
  <c r="HD6" i="22" s="1"/>
  <c r="O318" i="7"/>
  <c r="GK6" i="22" s="1"/>
  <c r="K51" i="8"/>
  <c r="GQ6" i="22" s="1"/>
  <c r="Q52" i="4"/>
  <c r="Q22" i="4" s="1"/>
  <c r="J29" i="10" l="1"/>
  <c r="J15" i="10"/>
  <c r="CQ6" i="22"/>
  <c r="J14" i="10"/>
  <c r="CO6" i="22"/>
  <c r="BF6" i="22"/>
  <c r="AX6" i="22"/>
  <c r="AZ6" i="22"/>
  <c r="AY6" i="22"/>
  <c r="BE6" i="22"/>
  <c r="AW6" i="22"/>
  <c r="AV6" i="22"/>
  <c r="BB6" i="22"/>
  <c r="BD6" i="22"/>
  <c r="AT6" i="22"/>
  <c r="BC6" i="22"/>
  <c r="AU6" i="22"/>
  <c r="BA6" i="22"/>
  <c r="Q319" i="7"/>
  <c r="GL6" i="22" s="1"/>
  <c r="X16" i="10"/>
  <c r="M55" i="7"/>
  <c r="FG6" i="22" s="1"/>
  <c r="O283" i="7"/>
  <c r="O267" i="7" s="1"/>
  <c r="O12" i="8"/>
  <c r="O294" i="7"/>
  <c r="Q294" i="7" s="1"/>
  <c r="O292" i="7"/>
  <c r="L315" i="6"/>
  <c r="O286" i="7"/>
  <c r="Q146" i="6"/>
  <c r="S147" i="6" s="1"/>
  <c r="DW6" i="22" s="1"/>
  <c r="O22" i="4"/>
  <c r="AS6" i="22" s="1"/>
  <c r="L316" i="6"/>
  <c r="O287" i="7"/>
  <c r="W213" i="8"/>
  <c r="O293" i="7"/>
  <c r="M90" i="8"/>
  <c r="N235" i="8"/>
  <c r="M91" i="8"/>
  <c r="N228" i="6"/>
  <c r="T44" i="5"/>
  <c r="W41" i="5" s="1"/>
  <c r="N109" i="5"/>
  <c r="CK6" i="22" s="1"/>
  <c r="L153" i="5"/>
  <c r="R181" i="6"/>
  <c r="DZ6" i="22" s="1"/>
  <c r="Q99" i="7"/>
  <c r="W100" i="7" s="1"/>
  <c r="N348" i="7"/>
  <c r="J35" i="10" s="1"/>
  <c r="W348" i="7"/>
  <c r="L35" i="10" s="1"/>
  <c r="W320" i="7"/>
  <c r="L34" i="10" s="1"/>
  <c r="N236" i="7"/>
  <c r="N238" i="7" s="1"/>
  <c r="N224" i="6"/>
  <c r="P39" i="6"/>
  <c r="S82" i="5"/>
  <c r="N111" i="5"/>
  <c r="N213" i="8"/>
  <c r="X33" i="10" s="1"/>
  <c r="M51" i="8"/>
  <c r="GR6" i="22" s="1"/>
  <c r="M204" i="7"/>
  <c r="L124" i="8"/>
  <c r="HA6" i="22" s="1"/>
  <c r="N161" i="8"/>
  <c r="HE6" i="22" s="1"/>
  <c r="P25" i="6"/>
  <c r="T51" i="5"/>
  <c r="T46" i="5"/>
  <c r="T48" i="5" s="1"/>
  <c r="BH6" i="22" s="1"/>
  <c r="AC184" i="8"/>
  <c r="M184" i="8" s="1"/>
  <c r="HG6" i="22" s="1"/>
  <c r="Z28" i="10"/>
  <c r="L349" i="6"/>
  <c r="W353" i="6" s="1"/>
  <c r="J318" i="6"/>
  <c r="W319" i="6" s="1"/>
  <c r="X10" i="10"/>
  <c r="K109" i="6"/>
  <c r="M106" i="6" s="1"/>
  <c r="J209" i="7"/>
  <c r="J211" i="7" s="1"/>
  <c r="FU6" i="22" s="1"/>
  <c r="M46" i="6"/>
  <c r="M48" i="6" s="1"/>
  <c r="DE6" i="22" s="1"/>
  <c r="N159" i="7"/>
  <c r="P84" i="5"/>
  <c r="P85" i="5" s="1"/>
  <c r="CG6" i="22" s="1"/>
  <c r="M59" i="7"/>
  <c r="I141" i="5"/>
  <c r="J280" i="6"/>
  <c r="J283" i="6" s="1"/>
  <c r="Q320" i="7" l="1"/>
  <c r="GM6" i="22" s="1"/>
  <c r="Q287" i="7"/>
  <c r="Q293" i="7" s="1"/>
  <c r="ET6" i="22"/>
  <c r="Q286" i="7"/>
  <c r="Q292" i="7" s="1"/>
  <c r="ES6" i="22"/>
  <c r="BG6" i="22"/>
  <c r="DA6" i="22"/>
  <c r="FY6" i="22"/>
  <c r="X31" i="10"/>
  <c r="X29" i="10"/>
  <c r="X27" i="10"/>
  <c r="L211" i="7"/>
  <c r="FV6" i="22" s="1"/>
  <c r="AD55" i="7"/>
  <c r="P55" i="7" s="1"/>
  <c r="FH6" i="22" s="1"/>
  <c r="AF55" i="7"/>
  <c r="R218" i="6"/>
  <c r="R186" i="6"/>
  <c r="EC6" i="22" s="1"/>
  <c r="P48" i="6"/>
  <c r="S85" i="5"/>
  <c r="CH6" i="22" s="1"/>
  <c r="W147" i="6"/>
  <c r="Z13" i="10" s="1"/>
  <c r="O284" i="7"/>
  <c r="O290" i="7"/>
  <c r="O271" i="7"/>
  <c r="O291" i="7" s="1"/>
  <c r="Q161" i="7"/>
  <c r="Q162" i="7"/>
  <c r="Q163" i="7"/>
  <c r="O107" i="6"/>
  <c r="O108" i="6"/>
  <c r="O106" i="6"/>
  <c r="W236" i="8"/>
  <c r="Z34" i="10" s="1"/>
  <c r="S100" i="7"/>
  <c r="FL6" i="22" s="1"/>
  <c r="L319" i="6"/>
  <c r="EV6" i="22" s="1"/>
  <c r="O92" i="8"/>
  <c r="GY6" i="22" s="1"/>
  <c r="W229" i="6"/>
  <c r="Z15" i="10" s="1"/>
  <c r="EM6" i="22"/>
  <c r="J282" i="6"/>
  <c r="EL6" i="22" s="1"/>
  <c r="J281" i="6"/>
  <c r="J284" i="6"/>
  <c r="EN6" i="22" s="1"/>
  <c r="M108" i="6"/>
  <c r="M107" i="6"/>
  <c r="N353" i="6"/>
  <c r="W48" i="5"/>
  <c r="Z33" i="10"/>
  <c r="X32" i="10"/>
  <c r="P238" i="7"/>
  <c r="FZ6" i="22" s="1"/>
  <c r="M60" i="7"/>
  <c r="FI6" i="22" s="1"/>
  <c r="P58" i="7"/>
  <c r="Z18" i="10"/>
  <c r="X13" i="10"/>
  <c r="Z19" i="10"/>
  <c r="T52" i="5"/>
  <c r="T53" i="5" s="1"/>
  <c r="CA6" i="22" s="1"/>
  <c r="T5" i="16"/>
  <c r="K110" i="6"/>
  <c r="AE85" i="5"/>
  <c r="L28" i="10"/>
  <c r="N226" i="6"/>
  <c r="ED6" i="22" s="1"/>
  <c r="L141" i="5"/>
  <c r="L152" i="5" s="1"/>
  <c r="CL6" i="22" s="1"/>
  <c r="N112" i="5"/>
  <c r="CI6" i="22" s="1"/>
  <c r="P180" i="7"/>
  <c r="P183" i="7" s="1"/>
  <c r="P227" i="6"/>
  <c r="EG6" i="22" s="1"/>
  <c r="X19" i="10" l="1"/>
  <c r="FC6" i="22"/>
  <c r="J34" i="10"/>
  <c r="EK6" i="22"/>
  <c r="DF6" i="22"/>
  <c r="X18" i="10"/>
  <c r="J28" i="10"/>
  <c r="R253" i="8"/>
  <c r="J32" i="10"/>
  <c r="J31" i="10"/>
  <c r="L284" i="6"/>
  <c r="L282" i="6"/>
  <c r="L283" i="6"/>
  <c r="X11" i="10"/>
  <c r="R187" i="6"/>
  <c r="X14" i="10" s="1"/>
  <c r="Q112" i="5"/>
  <c r="J11" i="10"/>
  <c r="W295" i="7"/>
  <c r="L33" i="10" s="1"/>
  <c r="R268" i="7"/>
  <c r="W56" i="5"/>
  <c r="W53" i="5"/>
  <c r="O111" i="6"/>
  <c r="W253" i="8"/>
  <c r="Z37" i="10"/>
  <c r="M111" i="6"/>
  <c r="DU6" i="22" s="1"/>
  <c r="P226" i="6"/>
  <c r="EF6" i="22" s="1"/>
  <c r="X28" i="10"/>
  <c r="X37" i="10" s="1"/>
  <c r="J47" i="10" s="1"/>
  <c r="L47" i="10" s="1"/>
  <c r="W286" i="6"/>
  <c r="Z17" i="10" s="1"/>
  <c r="M62" i="7"/>
  <c r="W64" i="7" s="1"/>
  <c r="L27" i="10" s="1"/>
  <c r="N186" i="7"/>
  <c r="W187" i="7" s="1"/>
  <c r="L30" i="10" s="1"/>
  <c r="L281" i="6"/>
  <c r="L154" i="5"/>
  <c r="CJ6" i="22" l="1"/>
  <c r="J12" i="10"/>
  <c r="P229" i="6"/>
  <c r="EH6" i="22" s="1"/>
  <c r="R272" i="7"/>
  <c r="O285" i="7"/>
  <c r="Q285" i="7" s="1"/>
  <c r="GI6" i="22" s="1"/>
  <c r="Q284" i="7"/>
  <c r="GD6" i="22" s="1"/>
  <c r="W58" i="5"/>
  <c r="CD6" i="22" s="1"/>
  <c r="L37" i="10"/>
  <c r="P64" i="7"/>
  <c r="FJ6" i="22" s="1"/>
  <c r="L286" i="6"/>
  <c r="O154" i="5"/>
  <c r="W365" i="7"/>
  <c r="Z12" i="10"/>
  <c r="Z20" i="10" s="1"/>
  <c r="W370" i="6"/>
  <c r="P187" i="7"/>
  <c r="FR6" i="22" s="1"/>
  <c r="X12" i="10"/>
  <c r="X17" i="10" l="1"/>
  <c r="EO6" i="22"/>
  <c r="CM6" i="22"/>
  <c r="Q291" i="7"/>
  <c r="GJ6" i="22" s="1"/>
  <c r="J30" i="10"/>
  <c r="X15" i="10"/>
  <c r="J10" i="10"/>
  <c r="Q290" i="7"/>
  <c r="GE6" i="22" s="1"/>
  <c r="S263" i="5"/>
  <c r="R370" i="6"/>
  <c r="J27" i="10"/>
  <c r="J13" i="10"/>
  <c r="X20" i="10" l="1"/>
  <c r="J45" i="10" s="1"/>
  <c r="L45" i="10" s="1"/>
  <c r="Q295" i="7"/>
  <c r="J33" i="10" s="1"/>
  <c r="J37" i="10" s="1"/>
  <c r="J46" i="10" s="1"/>
  <c r="L46" i="10" s="1"/>
  <c r="J20" i="10"/>
  <c r="J44" i="10" s="1"/>
  <c r="L44" i="10" s="1"/>
  <c r="R365" i="7" l="1"/>
  <c r="P42" i="1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<sst xmlns="http://schemas.openxmlformats.org/spreadsheetml/2006/main" count="7315" uniqueCount="2911">
  <si>
    <t>Listes pour menus déroulants</t>
  </si>
  <si>
    <t>Exploitation individuelle</t>
  </si>
  <si>
    <t>EARL</t>
  </si>
  <si>
    <t>GAEC</t>
  </si>
  <si>
    <t>Groupement de fait</t>
  </si>
  <si>
    <t>Société civile (SCEA)</t>
  </si>
  <si>
    <t>Société commerciale ou coopérative (SA ou SARL)</t>
  </si>
  <si>
    <t xml:space="preserve">Autre personne morale </t>
  </si>
  <si>
    <t>Autre personne physique</t>
  </si>
  <si>
    <t>Société en participation (SEP)</t>
  </si>
  <si>
    <t>Régions</t>
  </si>
  <si>
    <t>Alsace</t>
  </si>
  <si>
    <t>Aquitaine</t>
  </si>
  <si>
    <t>Auvergne</t>
  </si>
  <si>
    <t>Basse-Normandie</t>
  </si>
  <si>
    <t>Bourgogne</t>
  </si>
  <si>
    <t>Bretagne</t>
  </si>
  <si>
    <t>Centre</t>
  </si>
  <si>
    <t>Champagne-Ardenne</t>
  </si>
  <si>
    <t>Corse</t>
  </si>
  <si>
    <t>Franche-Comté</t>
  </si>
  <si>
    <t>Haute-Normandie</t>
  </si>
  <si>
    <t>Ile-de-France</t>
  </si>
  <si>
    <t>Languedoc-Roussillon</t>
  </si>
  <si>
    <t>Limousin</t>
  </si>
  <si>
    <t>Lorraine</t>
  </si>
  <si>
    <t>Midi-Pyrénées</t>
  </si>
  <si>
    <t>Nord-Pas-de-Calais</t>
  </si>
  <si>
    <t>Pays de la Loire</t>
  </si>
  <si>
    <t>Picardie</t>
  </si>
  <si>
    <t>Poitou-Charentes</t>
  </si>
  <si>
    <t>Provence-Alpes-Côte d'Azur</t>
  </si>
  <si>
    <t>Rhône-Alpes</t>
  </si>
  <si>
    <t>Activité animale</t>
  </si>
  <si>
    <t>Grandes cultures : céréales, oléagineux, protéagineux, autres</t>
  </si>
  <si>
    <t>Horticulture</t>
  </si>
  <si>
    <t>Viticulture</t>
  </si>
  <si>
    <t>Autres végétaux</t>
  </si>
  <si>
    <t>Apiculture</t>
  </si>
  <si>
    <t>Bovins lait</t>
  </si>
  <si>
    <t>Bovins viande</t>
  </si>
  <si>
    <t>Caprins</t>
  </si>
  <si>
    <t>Équins</t>
  </si>
  <si>
    <t>Lapins</t>
  </si>
  <si>
    <t>Œufs</t>
  </si>
  <si>
    <t>Ovins</t>
  </si>
  <si>
    <t>Porcins</t>
  </si>
  <si>
    <t>Volailles</t>
  </si>
  <si>
    <t>Autres animaux</t>
  </si>
  <si>
    <t>Bassin viticole</t>
  </si>
  <si>
    <t>Bordelais</t>
  </si>
  <si>
    <t>Dordogne</t>
  </si>
  <si>
    <t>Lot-et-Garonne</t>
  </si>
  <si>
    <t>Beaujolais</t>
  </si>
  <si>
    <t>Bugey-Savoie</t>
  </si>
  <si>
    <t>Val de Loire</t>
  </si>
  <si>
    <t>Champagne</t>
  </si>
  <si>
    <t>Charentes</t>
  </si>
  <si>
    <t>Pyrénées-Orientales</t>
  </si>
  <si>
    <t>Cahors</t>
  </si>
  <si>
    <t>Gaillac</t>
  </si>
  <si>
    <t>Gers</t>
  </si>
  <si>
    <t>Bouches-du-Rhône</t>
  </si>
  <si>
    <t>Var-Vaucluse</t>
  </si>
  <si>
    <t>Cher</t>
  </si>
  <si>
    <t>Nature audit</t>
  </si>
  <si>
    <t>Initial</t>
  </si>
  <si>
    <t>Suivi</t>
  </si>
  <si>
    <t>Renouvellement</t>
  </si>
  <si>
    <t>Oui</t>
  </si>
  <si>
    <t>3 - Restitution</t>
  </si>
  <si>
    <t>SAU : surface agricole utile</t>
  </si>
  <si>
    <t>SNE : surface agricole temporairement non exploitée</t>
  </si>
  <si>
    <t>Tas de fumier</t>
  </si>
  <si>
    <t>Peupleraie (plantation de peupliers en futaie)</t>
  </si>
  <si>
    <t>Surface implantée de sapins de Noël (production d’arbres)</t>
  </si>
  <si>
    <t>Production d’osier destiné à la vannerie</t>
  </si>
  <si>
    <t>Surface implantée d’ajoncs, brande à balai, genêts</t>
  </si>
  <si>
    <t>Sol nu (sans couvert végétal), hors cas des jachères noires</t>
  </si>
  <si>
    <t xml:space="preserve">Éléments suivants si aucun couvert n’est présent ou s’il n’est pas suffisamment couvrant : </t>
  </si>
  <si>
    <t>Surface initialement agricole mais utilisée temporairement pour une activité non agricole dont l’intensité, la nature ou la durée perturbe significativement l’activité agricole :</t>
  </si>
  <si>
    <t>Surfaces dont la vigne a été arrachée et non replantée, et qui ne font pas l’objet d’une demande d’aide à la restructuration et/ou à la reconversion du vignoble</t>
  </si>
  <si>
    <t>SNA : surface non agricole</t>
  </si>
  <si>
    <t>Éléments artificiels (route, chemin, bâtiment…)</t>
  </si>
  <si>
    <t>Végétaux naturels (arbre, haie, forêt, bosquet, broussaille…)</t>
  </si>
  <si>
    <t>Autres éléments naturels qui ne sont pas des végétaux (mares, affleurements rocheux…)</t>
  </si>
  <si>
    <t>Marais salants</t>
  </si>
  <si>
    <t>Surface totale de l’exploitation</t>
  </si>
  <si>
    <t>Chemins de rampe frontale ou de pivot pour l’irrigation</t>
  </si>
  <si>
    <t>Passages d’enrouleurs pour l’irrigation et leurs bandes de service</t>
  </si>
  <si>
    <t>Bandes de séparation des cultures de production de semences</t>
  </si>
  <si>
    <t>Bandes de séparation des cultures de maraîchage ou allées</t>
  </si>
  <si>
    <t>Espaces entre deux serres</t>
  </si>
  <si>
    <t>Surface où sont implantés des panneaux photovoltaïques</t>
  </si>
  <si>
    <t>Surface où sont effectués des travaux ou une construction</t>
  </si>
  <si>
    <t>Surface où sont effectuées des fouilles archéologiques</t>
  </si>
  <si>
    <t>N</t>
  </si>
  <si>
    <t>N-1</t>
  </si>
  <si>
    <t>N-2</t>
  </si>
  <si>
    <t>Zone de stockage non artificialisée ou silos (pour betteraves par exemple)</t>
  </si>
  <si>
    <t xml:space="preserve"> Zone dont la végétation et les autres éléments naturels non agricoles de type rochers, pierriers ou autre apparaissent homogènes en photo-interprétation</t>
  </si>
  <si>
    <r>
      <t>Zones de densité homogène</t>
    </r>
    <r>
      <rPr>
        <b/>
        <sz val="11"/>
        <color rgb="FFFF0000"/>
        <rFont val="Calibri"/>
        <family val="2"/>
      </rPr>
      <t>*</t>
    </r>
  </si>
  <si>
    <t>Céréales</t>
  </si>
  <si>
    <t>Blé tendre</t>
  </si>
  <si>
    <t>Blé dur</t>
  </si>
  <si>
    <t>Maïs</t>
  </si>
  <si>
    <t>Orge</t>
  </si>
  <si>
    <t>Triticale</t>
  </si>
  <si>
    <t>Autres céréales</t>
  </si>
  <si>
    <t>Oléagineux</t>
  </si>
  <si>
    <t>Colza et navette</t>
  </si>
  <si>
    <t>Tournesol</t>
  </si>
  <si>
    <t>Soja</t>
  </si>
  <si>
    <t>Autres oléagineux (chanvre oléagineux, lin non textile, œillette, etc.)</t>
  </si>
  <si>
    <t>Protéagineux et légumineuses à grain</t>
  </si>
  <si>
    <t>Pois protéagineux</t>
  </si>
  <si>
    <t>Autres protéagineux (fève, féverole, lupin doux, etc.)</t>
  </si>
  <si>
    <t>Légumes secs / légumineuses à grain (lentilles, pois chiches, vesces)</t>
  </si>
  <si>
    <t>Mélanges de cultures contenant des légumineuses, protéagineux ou légumes secs</t>
  </si>
  <si>
    <t>Chanvre et lin</t>
  </si>
  <si>
    <t>Déshydratation</t>
  </si>
  <si>
    <t>Maïs fourrage et ensilage</t>
  </si>
  <si>
    <t>Autres fourrages annuels, plantes sarclées fourragères</t>
  </si>
  <si>
    <t xml:space="preserve">Surfaces en herbe </t>
  </si>
  <si>
    <t xml:space="preserve">Cultures industrielles (pas encore comptées, hors pommes de terre) </t>
  </si>
  <si>
    <t>Betteraves industrielles</t>
  </si>
  <si>
    <t>Autres cultures industrielles non comptées</t>
  </si>
  <si>
    <t>Pommes de terre</t>
  </si>
  <si>
    <t>Cultures hors sol</t>
  </si>
  <si>
    <t>Arboriculture et viticulture</t>
  </si>
  <si>
    <t>Vignes</t>
  </si>
  <si>
    <t>Autres cultures permanentes</t>
  </si>
  <si>
    <t xml:space="preserve">NB : Conformément au plan de contrôle, dans l’ensemble de cet outil Excel, on définit : 
-          les prairies permanentes (PP) comme l’ensemble des prairies naturelles, des prairies temporaires de plus de cinq ans et des landes, parcours, alpages et estives individuels (les landes, parcours, alpages et estives collectifs ne sont pas comptabilisés dans la SAU) ;
-          les prairies temporaires (PT) comme les prairies temporaires de 5 ans et moins. </t>
  </si>
  <si>
    <t>Vergers :</t>
  </si>
  <si>
    <t>Label_culture</t>
  </si>
  <si>
    <t>Abricotier</t>
  </si>
  <si>
    <t>Airelle</t>
  </si>
  <si>
    <t>Amandier</t>
  </si>
  <si>
    <t>Azerolier</t>
  </si>
  <si>
    <t>Cassissier</t>
  </si>
  <si>
    <t>Cerisier</t>
  </si>
  <si>
    <t>Chataignier</t>
  </si>
  <si>
    <t>Citronnier</t>
  </si>
  <si>
    <t>Clémentinier</t>
  </si>
  <si>
    <t>Cognassier</t>
  </si>
  <si>
    <t>Cynhorodon</t>
  </si>
  <si>
    <t>Figuier</t>
  </si>
  <si>
    <t>Framboisier</t>
  </si>
  <si>
    <t>Groseillier</t>
  </si>
  <si>
    <t>Jujubier</t>
  </si>
  <si>
    <t>Kiwi</t>
  </si>
  <si>
    <t>Limettes</t>
  </si>
  <si>
    <t>Mandarinier</t>
  </si>
  <si>
    <t>Mirabellier</t>
  </si>
  <si>
    <t>Mûre morus sp</t>
  </si>
  <si>
    <t>Mûres rubus sp</t>
  </si>
  <si>
    <t>Mûres des haies</t>
  </si>
  <si>
    <t>Myrtillier</t>
  </si>
  <si>
    <t>Nashi</t>
  </si>
  <si>
    <t>Nectarinier</t>
  </si>
  <si>
    <t>Néflier</t>
  </si>
  <si>
    <t>Noisetier</t>
  </si>
  <si>
    <t>Noyer</t>
  </si>
  <si>
    <t>Olivier</t>
  </si>
  <si>
    <t>Oranger</t>
  </si>
  <si>
    <t>Pamplemoussier</t>
  </si>
  <si>
    <t>Pêcher</t>
  </si>
  <si>
    <t>Poirier</t>
  </si>
  <si>
    <t>Pommette</t>
  </si>
  <si>
    <t>Pommier</t>
  </si>
  <si>
    <t>Prunier</t>
  </si>
  <si>
    <t>Sureau noir</t>
  </si>
  <si>
    <t>Kaki</t>
  </si>
  <si>
    <t>Grenadier</t>
  </si>
  <si>
    <t>Pistachier</t>
  </si>
  <si>
    <t>Kiwai</t>
  </si>
  <si>
    <t>Prunier du Japon</t>
  </si>
  <si>
    <t>Ananas</t>
  </si>
  <si>
    <t>Autres</t>
  </si>
  <si>
    <t>Bananier</t>
  </si>
  <si>
    <t>Barbadines</t>
  </si>
  <si>
    <t>Carambole</t>
  </si>
  <si>
    <t>Cherimole</t>
  </si>
  <si>
    <t>Corossol</t>
  </si>
  <si>
    <t>Fruit de l'arbre à pain</t>
  </si>
  <si>
    <t>Fruit de la passion</t>
  </si>
  <si>
    <t>Goyavier</t>
  </si>
  <si>
    <t>Grenadilles</t>
  </si>
  <si>
    <t>Litchi</t>
  </si>
  <si>
    <t>Longanis</t>
  </si>
  <si>
    <t>Manguier</t>
  </si>
  <si>
    <t>Papayer</t>
  </si>
  <si>
    <t>Avocatier</t>
  </si>
  <si>
    <t>Choix 1</t>
  </si>
  <si>
    <t>Choix 2</t>
  </si>
  <si>
    <t>Choix 3</t>
  </si>
  <si>
    <t>Choix 4</t>
  </si>
  <si>
    <t>Choix 5</t>
  </si>
  <si>
    <t>Choix 6</t>
  </si>
  <si>
    <t>Choix 7</t>
  </si>
  <si>
    <t>Choix 8</t>
  </si>
  <si>
    <t>Choix 9</t>
  </si>
  <si>
    <t>Choix 10</t>
  </si>
  <si>
    <t>Choix 11</t>
  </si>
  <si>
    <t>Choix 12</t>
  </si>
  <si>
    <t>Choix 13</t>
  </si>
  <si>
    <t>Choix 14</t>
  </si>
  <si>
    <t>Choix 15</t>
  </si>
  <si>
    <t>Élément</t>
  </si>
  <si>
    <t>CO*</t>
  </si>
  <si>
    <t>CP*</t>
  </si>
  <si>
    <t>Unité</t>
  </si>
  <si>
    <t>Coefficient en m²</t>
  </si>
  <si>
    <t>Haie</t>
  </si>
  <si>
    <t>x</t>
  </si>
  <si>
    <t>m linéaire</t>
  </si>
  <si>
    <t>Alignement d’arbres</t>
  </si>
  <si>
    <t>Arbre isolé</t>
  </si>
  <si>
    <t>arbre</t>
  </si>
  <si>
    <t>Bosquets</t>
  </si>
  <si>
    <t>Mare</t>
  </si>
  <si>
    <t>Fossé non maçonné</t>
  </si>
  <si>
    <t>Mur traditionnel en pierres</t>
  </si>
  <si>
    <t>Bordures non productives</t>
  </si>
  <si>
    <t>Bordures non productives complément*</t>
  </si>
  <si>
    <t>Jachère</t>
  </si>
  <si>
    <t>Jachère mellifère</t>
  </si>
  <si>
    <t>Zones humides</t>
  </si>
  <si>
    <t>Verger haute-tige =  pré-verger</t>
  </si>
  <si>
    <t>Bandes enherbées intra-parcellaires</t>
  </si>
  <si>
    <t>Prairies permanentes, landes, parcours, alpages, estives situés en zone Natura 2000</t>
  </si>
  <si>
    <t>Zones herbacées mises en défens et retirées de la production</t>
  </si>
  <si>
    <t>« Autres milieux »</t>
  </si>
  <si>
    <t>Tableau de points du critère points</t>
  </si>
  <si>
    <t>Valeur de l’item (I) : % de la surface de l’exploitation en infrastructure agro-écologique</t>
  </si>
  <si>
    <t>Nombre de points</t>
  </si>
  <si>
    <t>0 % ≤ I &lt; 4 %</t>
  </si>
  <si>
    <t>4 % ≤ I &lt; 5 %</t>
  </si>
  <si>
    <t>5 % ≤ I &lt; 6 %</t>
  </si>
  <si>
    <t>6 % ≤ I &lt; 7 %</t>
  </si>
  <si>
    <t>7 % ≤ I &lt; 8 %</t>
  </si>
  <si>
    <t>8 % ≤ I &lt; 9 %</t>
  </si>
  <si>
    <t>9 % ≤ I &lt; 10 %</t>
  </si>
  <si>
    <t>10 % ≤ I</t>
  </si>
  <si>
    <t>Totale SAU</t>
  </si>
  <si>
    <t>Résultats en points</t>
  </si>
  <si>
    <t>Socle de l'item (en %)</t>
  </si>
  <si>
    <t>ID Element</t>
  </si>
  <si>
    <t>Famille</t>
  </si>
  <si>
    <t>ID</t>
  </si>
  <si>
    <t>ligneux</t>
  </si>
  <si>
    <t>aquatique</t>
  </si>
  <si>
    <t>rocheux</t>
  </si>
  <si>
    <t>herbager</t>
  </si>
  <si>
    <t>à masquer</t>
  </si>
  <si>
    <t>Min</t>
  </si>
  <si>
    <t>Max</t>
  </si>
  <si>
    <t>Ratio</t>
  </si>
  <si>
    <t>en hectares</t>
  </si>
  <si>
    <t>Surface de la culture principale</t>
  </si>
  <si>
    <t>Surface culture principale</t>
  </si>
  <si>
    <t>Cultures fourragères annuelles</t>
  </si>
  <si>
    <t>Autres cultures arables</t>
  </si>
  <si>
    <t>Nb</t>
  </si>
  <si>
    <t>Prairies temporaires de 5 ans et moins (PT)</t>
  </si>
  <si>
    <t>Nombre d'espèces semées pures</t>
  </si>
  <si>
    <t>Surfaces semées en mélange de légumineuses</t>
  </si>
  <si>
    <t>Surfaces semées en mélange de graminées</t>
  </si>
  <si>
    <t>Surfaces semées en mélange complexe de légumineuses ET graminées</t>
  </si>
  <si>
    <t>Part des PP dans la SAU</t>
  </si>
  <si>
    <t>Prairies permanentes (PP)</t>
  </si>
  <si>
    <t>Autres cultures</t>
  </si>
  <si>
    <t>Légumes et fruits hors arboriculture</t>
  </si>
  <si>
    <t>Fleurs</t>
  </si>
  <si>
    <t>Arboriculture et autres cultures permanentes</t>
  </si>
  <si>
    <t>Cultures arables</t>
  </si>
  <si>
    <t>Total</t>
  </si>
  <si>
    <t>Nombre d'espèces bovines</t>
  </si>
  <si>
    <t>Nombre d'espèces porcines</t>
  </si>
  <si>
    <t>Nombre d'espèces ovines</t>
  </si>
  <si>
    <t>Nombre d'espèces caprines</t>
  </si>
  <si>
    <t>Nombre d'espèces de volailles</t>
  </si>
  <si>
    <t>Total espèces</t>
  </si>
  <si>
    <t>Autres espèces élevées</t>
  </si>
  <si>
    <t>Nombre de ruches</t>
  </si>
  <si>
    <t>Nb de points</t>
  </si>
  <si>
    <t>Taille des parcelles</t>
  </si>
  <si>
    <t>Poids de la culture principale</t>
  </si>
  <si>
    <t>Nombre d'espèces végétales cultivées</t>
  </si>
  <si>
    <t>Nombre d'espèces animales élevées</t>
  </si>
  <si>
    <t>Total ruches</t>
  </si>
  <si>
    <t>Région</t>
  </si>
  <si>
    <t>Herbicides – plancher</t>
  </si>
  <si>
    <t>Hors herbicides – plancher</t>
  </si>
  <si>
    <t>Guadeloupe</t>
  </si>
  <si>
    <t>Guyane</t>
  </si>
  <si>
    <t>Martinique</t>
  </si>
  <si>
    <t>Valeurs notation HVE Herbicides</t>
  </si>
  <si>
    <t>Valeurs notation HVE Hors Herbicides</t>
  </si>
  <si>
    <t>Plancher</t>
  </si>
  <si>
    <t>Plafond</t>
  </si>
  <si>
    <t>France entière</t>
  </si>
  <si>
    <t>Île-de-France</t>
  </si>
  <si>
    <t>Si oui, existe-t-il une dérogation exceptionnelle ?</t>
  </si>
  <si>
    <t>Total SAU</t>
  </si>
  <si>
    <t>Références à utiliser pour calculer les points</t>
  </si>
  <si>
    <t xml:space="preserve">IFT - hors herbicides </t>
  </si>
  <si>
    <t xml:space="preserve">IFT - herbicides </t>
  </si>
  <si>
    <t>Critère obligatoire</t>
  </si>
  <si>
    <t>IFT - herbicides</t>
  </si>
  <si>
    <t>IFT hors herbicides</t>
  </si>
  <si>
    <t>IFT réalisé sur l'exploitation</t>
  </si>
  <si>
    <t>Vigne</t>
  </si>
  <si>
    <t>IFT</t>
  </si>
  <si>
    <t>Arboriculture</t>
  </si>
  <si>
    <t>Non</t>
  </si>
  <si>
    <t>Outil de diagnostic précoce</t>
  </si>
  <si>
    <t>Campagne collective</t>
  </si>
  <si>
    <t>On tient compte ici des méthodes de :</t>
  </si>
  <si>
    <t>- lutte physique : travail du sol (faux semis), désherbage mécanique ou thermique, utilisation de filets…</t>
  </si>
  <si>
    <t>Surface sur laquelle est utilisée au moins une méthode alternative</t>
  </si>
  <si>
    <t>Nombre de clones</t>
  </si>
  <si>
    <t>Arboriculture et autres cultures pérennes</t>
  </si>
  <si>
    <t xml:space="preserve">Nombre total d'espèces </t>
  </si>
  <si>
    <t>Nombre d'espèces avec 2 variétés cultivées</t>
  </si>
  <si>
    <t>Nombre d'espèces avec au moins 3 variétés cultivées</t>
  </si>
  <si>
    <t>Total surface vignes</t>
  </si>
  <si>
    <t>Total surface arboriculture et autres cultures pérennes</t>
  </si>
  <si>
    <t>m3</t>
  </si>
  <si>
    <t>Volume annuel d'eau recyclé et traité avant tout rejet dans le milieu</t>
  </si>
  <si>
    <t>Surfaces non traitées</t>
  </si>
  <si>
    <t>Surveillance active des parcelles</t>
  </si>
  <si>
    <t>Diversité spécifique et variétale</t>
  </si>
  <si>
    <t>Recyclage et traitement des eaux d'irrigation</t>
  </si>
  <si>
    <t>Balance globale azotée (BGA)</t>
  </si>
  <si>
    <t>Bilan apparent</t>
  </si>
  <si>
    <t>en kg N/ha</t>
  </si>
  <si>
    <t>Cultures "principales"</t>
  </si>
  <si>
    <t>Grandes cultures</t>
  </si>
  <si>
    <t>Utilisation d'un outil ODP (outil de pilotage)</t>
  </si>
  <si>
    <t>Surface concernée</t>
  </si>
  <si>
    <t>Vigne, arboriculture, maraîchage</t>
  </si>
  <si>
    <t>Cultures "mineures"</t>
  </si>
  <si>
    <t>Prairies permanentes non fertilisées</t>
  </si>
  <si>
    <t>Part non fertilisée de la SAU</t>
  </si>
  <si>
    <t>surface en Ha</t>
  </si>
  <si>
    <t xml:space="preserve">Part de la surface concernée </t>
  </si>
  <si>
    <t>Système de recyclage partiel des cultures hors sol</t>
  </si>
  <si>
    <t>en m3</t>
  </si>
  <si>
    <t>Part de l'azote organique apporté</t>
  </si>
  <si>
    <t>Utilisation d'OAD</t>
  </si>
  <si>
    <t>Pourcentage de la SAU non fertilisée</t>
  </si>
  <si>
    <t>Part des légumineuses dans la SAU</t>
  </si>
  <si>
    <t>Couverture des sols</t>
  </si>
  <si>
    <t>Volume total d'eau prélevé</t>
  </si>
  <si>
    <t>hors période d'étiage</t>
  </si>
  <si>
    <t>Présence d'un cahier d'enregistrement des pratiques d'irrigation</t>
  </si>
  <si>
    <t>Nombre de parcelles irriguées</t>
  </si>
  <si>
    <t>Nombre total d'apports d'eau sur les parcelles irriguées</t>
  </si>
  <si>
    <t>Nombre de données à enregistrer</t>
  </si>
  <si>
    <t>Données à enregistrer concernant l'apport</t>
  </si>
  <si>
    <t>Date et période (étiage ou hors étiage) de l'apport</t>
  </si>
  <si>
    <t>Estimation du volume de l'apport</t>
  </si>
  <si>
    <t>Surface irriguée</t>
  </si>
  <si>
    <t>Mode d'irrigation (gravité, aspersion, micro-irrigation)</t>
  </si>
  <si>
    <t>Matériel utilisé</t>
  </si>
  <si>
    <t>Origine de l'eau (retenue collinaire, forage, rivière…)</t>
  </si>
  <si>
    <t>Facteur déclenchant l'irrigation (analyses, données météo…)</t>
  </si>
  <si>
    <t>Données à enregistrer concernant la parcelle</t>
  </si>
  <si>
    <t>Culture irriguée</t>
  </si>
  <si>
    <t>Variété irriguée (résistante ou non à la sécheresse)</t>
  </si>
  <si>
    <t>Date de semis</t>
  </si>
  <si>
    <t>Autres pratiques réduisant les besoins en eau</t>
  </si>
  <si>
    <t>Rendement de la parcelle</t>
  </si>
  <si>
    <t>Nombre total de données manquantes</t>
  </si>
  <si>
    <t>Nombre de données manquantes</t>
  </si>
  <si>
    <t>Nombre d'outils avec pour objectif : évaluation de l'offre</t>
  </si>
  <si>
    <t>Nombre d'outils avec pour objectif : évaluation de la demande de la plante</t>
  </si>
  <si>
    <t>Nombre d'outils avec pour objectif : mixte</t>
  </si>
  <si>
    <t>Part de la surface équipée</t>
  </si>
  <si>
    <t>Adhésion à une démarche collective</t>
  </si>
  <si>
    <t>Surface de la SAU irriguée avec des pratiques économisant l'eau</t>
  </si>
  <si>
    <t>Part de la surface irriguée concernée</t>
  </si>
  <si>
    <t>Volume total d'eau</t>
  </si>
  <si>
    <t>Part des prélèvements en période d'étiage</t>
  </si>
  <si>
    <t>en période d'étiage (juin, juillet, août)</t>
  </si>
  <si>
    <t>Mise en place d'un dispositif de récupération des eaux de pluie à partir des surfaces hors sol</t>
  </si>
  <si>
    <t>Pratiques agronomiques mises en œuvre pour économiser l'eau</t>
  </si>
  <si>
    <t>Récupération des eaux de pluie</t>
  </si>
  <si>
    <t>Surface totale de l'exploitation</t>
  </si>
  <si>
    <t xml:space="preserve"> </t>
  </si>
  <si>
    <t>Nombre de matériels utilisés</t>
  </si>
  <si>
    <t>Surface totale des PP</t>
  </si>
  <si>
    <t>Ancien plafond</t>
  </si>
  <si>
    <t>Part des surfaces concernées par rapport à la SAU</t>
  </si>
  <si>
    <t>Plantes en pot</t>
  </si>
  <si>
    <t>Autres Arbres et arbustes</t>
  </si>
  <si>
    <t>Autres fleurs coupées</t>
  </si>
  <si>
    <t>Autres cultures couvertes</t>
  </si>
  <si>
    <t>Substances actives (kg sa/ha/an)</t>
  </si>
  <si>
    <t>Azote (kg N/ha/an)</t>
  </si>
  <si>
    <t>Plantes à massif; Plantes vivaces, Plants potagers</t>
  </si>
  <si>
    <t>Arbres et arbustes (acidophiles, croissance  lente)</t>
  </si>
  <si>
    <t>Plantes méditérranéennes</t>
  </si>
  <si>
    <t>Fleurs coupées d'été</t>
  </si>
  <si>
    <t>Production couverte</t>
  </si>
  <si>
    <t>Productions</t>
  </si>
  <si>
    <t>Plantes vivaces en pot</t>
  </si>
  <si>
    <t>Plantes vivaces pleine terre</t>
  </si>
  <si>
    <t>Chrysanthème en pot</t>
  </si>
  <si>
    <t>Production extérieures</t>
  </si>
  <si>
    <t>Arbres et arbustes (acidophiles, croissance  lente) en pot</t>
  </si>
  <si>
    <t>Plantes méditérranéennes en pot</t>
  </si>
  <si>
    <t>Arbres, pleine terre</t>
  </si>
  <si>
    <t>Arbres fruitiers, pleine terre</t>
  </si>
  <si>
    <t>Rosier pleine terre</t>
  </si>
  <si>
    <t>Fleurs d'été pleine terre</t>
  </si>
  <si>
    <t>Bulbes pleine terre</t>
  </si>
  <si>
    <t>Autres cultures non couvertes</t>
  </si>
  <si>
    <t>surface totale en cultures annuelles</t>
  </si>
  <si>
    <t>Prorata concerné</t>
  </si>
  <si>
    <t>surface totale en cultures pérennes</t>
  </si>
  <si>
    <t>Total points retenus</t>
  </si>
  <si>
    <t>Gestion de la temporalité des référentiels</t>
  </si>
  <si>
    <t>Date mise à jour référentiels</t>
  </si>
  <si>
    <t>Campagne culturale limite</t>
  </si>
  <si>
    <t>Grandes cultures et PdT</t>
  </si>
  <si>
    <t>Total des points retenus</t>
  </si>
  <si>
    <t>surfaces en Ha</t>
  </si>
  <si>
    <t>L'exploitation est-elle concernée par ce critère obligatoire ?</t>
  </si>
  <si>
    <t>surface en prairies temporaires et/ou en jachère et/ou en légumineuses supérieure à 75 % des terres arables de l’exploitation</t>
  </si>
  <si>
    <t>surface en herbe (prairies permanentes et/ou temporaires) et/ou en riz supérieure à 75 % de la SAU de l’exploitation</t>
  </si>
  <si>
    <t>Exploitation irriguante</t>
  </si>
  <si>
    <t>Calcul des points</t>
  </si>
  <si>
    <t>Exploitations bovines spécialisées – orientation lait</t>
  </si>
  <si>
    <t>Exploitations bovines spécialisées – orientation viande</t>
  </si>
  <si>
    <t>Exploitations bovines – lait, élevage et viande combinés</t>
  </si>
  <si>
    <t>Exploitations ovines spécialisées</t>
  </si>
  <si>
    <t>Exploitations avec ovins et bovins combinés</t>
  </si>
  <si>
    <t>Exploitations caprines spécialisées</t>
  </si>
  <si>
    <t>Exploitations d’équidés et/ou autres herbivores</t>
  </si>
  <si>
    <t>Exploitations mixtes combinant bovins laitiers avec grandes cultures</t>
  </si>
  <si>
    <t>Exploitations mixtes combinant grandes cultures avec herbivores non laitiers</t>
  </si>
  <si>
    <t>Exploitations mixtes combinant herbivores non laitiers avec grandes cultures</t>
  </si>
  <si>
    <t>Exploitations mixtes avec cultures permanentes et herbivores</t>
  </si>
  <si>
    <t>Code OTEX</t>
  </si>
  <si>
    <t>Description OTEX</t>
  </si>
  <si>
    <t>Méthode de calcul Balance Globale Azotée (BGA)</t>
  </si>
  <si>
    <t>Entrées</t>
  </si>
  <si>
    <t>Sorties</t>
  </si>
  <si>
    <t>Balance globale de fertilisation après engrais minéraux</t>
  </si>
  <si>
    <t>Méthode de calcul Bilan apparent</t>
  </si>
  <si>
    <t>Solde balance globale de fertilisation avant engrais minéraux</t>
  </si>
  <si>
    <t>Présence d'une OTEX concernée</t>
  </si>
  <si>
    <t>Méthode de calcul retenue par l'exploitant</t>
  </si>
  <si>
    <t>Surface de la SAU</t>
  </si>
  <si>
    <t>Part des cultures mineures dans la SAU</t>
  </si>
  <si>
    <t xml:space="preserve">Correction nombre de points ? </t>
  </si>
  <si>
    <t>Total nombre de points retenus</t>
  </si>
  <si>
    <t>Total surface de blé</t>
  </si>
  <si>
    <t>Max de points</t>
  </si>
  <si>
    <t>Utilisation d'un outil de diagnostic précoce pour la gestion des ravageurs et des maladies des plantes ou d'un outil de modélisation du risque</t>
  </si>
  <si>
    <t>Surface en prairies permanentes</t>
  </si>
  <si>
    <t>AIN</t>
  </si>
  <si>
    <t>AISNE</t>
  </si>
  <si>
    <t>ALLIER</t>
  </si>
  <si>
    <t>ALPES-DE-HAUTE-PROVENCE</t>
  </si>
  <si>
    <t>HAUTES-ALPES</t>
  </si>
  <si>
    <t>ALPES-MARITIME</t>
  </si>
  <si>
    <t>ARDECHE</t>
  </si>
  <si>
    <t>ARDENNES</t>
  </si>
  <si>
    <t>ARIEGE</t>
  </si>
  <si>
    <t>AUBE</t>
  </si>
  <si>
    <t>AUDE</t>
  </si>
  <si>
    <t>AVEYRON</t>
  </si>
  <si>
    <t>BOUCHES-DU-RHONE</t>
  </si>
  <si>
    <t>CALVADOS</t>
  </si>
  <si>
    <t>CANTAL</t>
  </si>
  <si>
    <t>CHARENTE</t>
  </si>
  <si>
    <t>CHARENTE-MARITIME</t>
  </si>
  <si>
    <t>CHER</t>
  </si>
  <si>
    <t>CORREZE</t>
  </si>
  <si>
    <t>CORSE-DU-SUD</t>
  </si>
  <si>
    <t>HAUTE-CORSE</t>
  </si>
  <si>
    <t>COTE-D'OR</t>
  </si>
  <si>
    <t>COTES D'ARMOR</t>
  </si>
  <si>
    <t>CREUSE</t>
  </si>
  <si>
    <t>DORDOGNE</t>
  </si>
  <si>
    <t>DOUBS</t>
  </si>
  <si>
    <t>DROME</t>
  </si>
  <si>
    <t>EURE</t>
  </si>
  <si>
    <t>EURE-ET-LOIR</t>
  </si>
  <si>
    <t>FINISTERE</t>
  </si>
  <si>
    <t>GARD</t>
  </si>
  <si>
    <t>GERS</t>
  </si>
  <si>
    <t>GIRONDE</t>
  </si>
  <si>
    <t>HERAULT</t>
  </si>
  <si>
    <t>ILLE-ET-VILAINE</t>
  </si>
  <si>
    <t>INDRE</t>
  </si>
  <si>
    <t>INDRE-ET-LOIRE</t>
  </si>
  <si>
    <t>ISERE</t>
  </si>
  <si>
    <t>JURA</t>
  </si>
  <si>
    <t>LANDES</t>
  </si>
  <si>
    <t>LOIR-ET-CHER</t>
  </si>
  <si>
    <t>LOIRE</t>
  </si>
  <si>
    <t>HAUTE-LOIRE</t>
  </si>
  <si>
    <t>LOIRE-ATLANTIQUE</t>
  </si>
  <si>
    <t>LOIRET</t>
  </si>
  <si>
    <t>LOT</t>
  </si>
  <si>
    <t>LOT-ET-GARONNE</t>
  </si>
  <si>
    <t>LOZERE</t>
  </si>
  <si>
    <t>MAINE-ET-LOIRE</t>
  </si>
  <si>
    <t>MANCHE</t>
  </si>
  <si>
    <t>MARNE</t>
  </si>
  <si>
    <t>HAUTE-MARNE</t>
  </si>
  <si>
    <t>MAYENNE</t>
  </si>
  <si>
    <t>MEURTHE-ET-MOSELLE</t>
  </si>
  <si>
    <t>MEUSE</t>
  </si>
  <si>
    <t>MORBIHAN</t>
  </si>
  <si>
    <t>MOSELLE</t>
  </si>
  <si>
    <t>NIEVRE</t>
  </si>
  <si>
    <t>NORD</t>
  </si>
  <si>
    <t>OISE</t>
  </si>
  <si>
    <t>ORNE</t>
  </si>
  <si>
    <t>PAS-DE-CALAIS</t>
  </si>
  <si>
    <t>PUY-DE-DOME</t>
  </si>
  <si>
    <t>PYRENEES-ATLANTIQUES</t>
  </si>
  <si>
    <t>HAUTES-PYRENEES</t>
  </si>
  <si>
    <t>PYRENNEES-ORIENTALES</t>
  </si>
  <si>
    <t>BAS-RHIN</t>
  </si>
  <si>
    <t>HAUT-RHIN</t>
  </si>
  <si>
    <t>RHONE</t>
  </si>
  <si>
    <t>HAUTE-SAONE</t>
  </si>
  <si>
    <t>SAONE-ET-LOIRE</t>
  </si>
  <si>
    <t>SARTHE</t>
  </si>
  <si>
    <t>SAVOIE</t>
  </si>
  <si>
    <t>HAUTE-SAVOIE</t>
  </si>
  <si>
    <t>PARIS</t>
  </si>
  <si>
    <t>SEINE-MARITIME</t>
  </si>
  <si>
    <t>SEINE-ET-MARNE</t>
  </si>
  <si>
    <t>YVELINES</t>
  </si>
  <si>
    <t>DEUX-SEVRES</t>
  </si>
  <si>
    <t>SOMME</t>
  </si>
  <si>
    <t>TARN</t>
  </si>
  <si>
    <t>TARN-ET-GARONNE</t>
  </si>
  <si>
    <t>VAR</t>
  </si>
  <si>
    <t>VAUCLUSE</t>
  </si>
  <si>
    <t>VENDEE</t>
  </si>
  <si>
    <t>VIENNE</t>
  </si>
  <si>
    <t>HAUTE-VIENNE</t>
  </si>
  <si>
    <t>VOSGES</t>
  </si>
  <si>
    <t>YONNE</t>
  </si>
  <si>
    <t>TERRITOIRE DE BELFORT</t>
  </si>
  <si>
    <t>ESSONE</t>
  </si>
  <si>
    <t>HAUTS-DE-SEINE</t>
  </si>
  <si>
    <t>SEINE-SAINT-DENIS</t>
  </si>
  <si>
    <t>VAL-DE-MARNE</t>
  </si>
  <si>
    <t>VAL-D'OISE</t>
  </si>
  <si>
    <t>GUADELOUPE</t>
  </si>
  <si>
    <t>MARTINIQUE</t>
  </si>
  <si>
    <t>GUYANE</t>
  </si>
  <si>
    <t>LA REUNION</t>
  </si>
  <si>
    <t>Département</t>
  </si>
  <si>
    <t>Total en nombre d'espèces</t>
  </si>
  <si>
    <t>1 - Saisie préalable</t>
  </si>
  <si>
    <t>2 - Calculs des indicateurs</t>
  </si>
  <si>
    <t>Autre démarche 3</t>
  </si>
  <si>
    <t>Fruits</t>
  </si>
  <si>
    <t>Légumes</t>
  </si>
  <si>
    <t>Autre(s) démarche(s) qualité (SIQO, CCP, mention valorisante) dans laquelle/lesquelles l'exploitation est engagée :</t>
  </si>
  <si>
    <t>Riz</t>
  </si>
  <si>
    <t>Fourrages (hors légumineuses fourragères qui sont comptées dans les prairies temporaires en légumineuse pure ou en mélange de légumineuses)</t>
  </si>
  <si>
    <t>PT (prairies temporaires)  : légumineuse pure (luzerne, trèfle…)</t>
  </si>
  <si>
    <t>PT (prairies temporaires)  : mélange de légumineuses</t>
  </si>
  <si>
    <t>PT (prairies temporaires)  : graminée pure</t>
  </si>
  <si>
    <t>PT (prairies temporaires)  : mélange de graminées</t>
  </si>
  <si>
    <t>PT (prairies temporaires)  : mélange complexe graminées et légumineuses</t>
  </si>
  <si>
    <t>PP (prairies permanentes) non fertilisées (hors déjections animaux pâturant) et non traitées</t>
  </si>
  <si>
    <t>PP (prairies permanentes) fertilisées mais non traitées</t>
  </si>
  <si>
    <t>INDICATEUR BIODIVERSITE</t>
  </si>
  <si>
    <t>« Autres milieux » surfaciques</t>
  </si>
  <si>
    <t>Terres arables de l'exploitation</t>
  </si>
  <si>
    <t>Nom de la culture principale (hors prairies permanentes)</t>
  </si>
  <si>
    <t>SAU exploitation (hors prairies permanentes)</t>
  </si>
  <si>
    <t>Nb d'espèces / équivalent nb d'espèces</t>
  </si>
  <si>
    <t>Nb total d'espèces</t>
  </si>
  <si>
    <t>Poids de la culture principale en % de la SAU</t>
  </si>
  <si>
    <t>Option(s) choisie(s) par l'agriculteur</t>
  </si>
  <si>
    <t>INDICATEUR STRATEGIE PHYTOSANITAIRE</t>
  </si>
  <si>
    <t>Surface totale non traitée</t>
  </si>
  <si>
    <t>Part de la SAU non traitée</t>
  </si>
  <si>
    <t>Plancher pondéré</t>
  </si>
  <si>
    <t>Plafond pondéré</t>
  </si>
  <si>
    <t>des surfaces en cultures annuelles</t>
  </si>
  <si>
    <t>surface concernée en cultures annuelles</t>
  </si>
  <si>
    <t>des surfaces en cultures pérennes</t>
  </si>
  <si>
    <t>surface concernée en cultures pérennes</t>
  </si>
  <si>
    <t>Dispositif de collecte de données</t>
  </si>
  <si>
    <t>Part de la SAU concernée par la pratique</t>
  </si>
  <si>
    <t>- lutte biologique : méthodes utilisant les produits de biocontrôle tels que définis dans l’article L253-6 du Code rural et de la pêche maritime</t>
  </si>
  <si>
    <t>Part de la surface concernée vignes</t>
  </si>
  <si>
    <r>
      <t xml:space="preserve">Surfaces concernées par un système de recyclage et de traitement </t>
    </r>
    <r>
      <rPr>
        <b/>
        <sz val="11"/>
        <color theme="1"/>
        <rFont val="Calibri"/>
        <family val="2"/>
      </rPr>
      <t>total</t>
    </r>
  </si>
  <si>
    <r>
      <t xml:space="preserve">Surfaces concernées par un système de recyclage et de traitement </t>
    </r>
    <r>
      <rPr>
        <b/>
        <sz val="11"/>
        <color theme="1"/>
        <rFont val="Calibri"/>
        <family val="2"/>
      </rPr>
      <t>partiel</t>
    </r>
  </si>
  <si>
    <t>INDICATEUR FERTILISATION</t>
  </si>
  <si>
    <t xml:space="preserve">Utilisation d’un outil PPF (plan prévisionnel de fertilisation) </t>
  </si>
  <si>
    <t>Utilisation d’un outil PPF Aj (ajustement du PPF)</t>
  </si>
  <si>
    <t>Utilisation d'un outil OPI (outil de pilotage intégral) pour le blé</t>
  </si>
  <si>
    <t>Part de la surface concernée par ODP</t>
  </si>
  <si>
    <t>Part de la surface concernée par OPI (pour le blé)</t>
  </si>
  <si>
    <t>Total surface cultures mineures</t>
  </si>
  <si>
    <t>Total surface cultures principales vigne, arboriculture, maraîchage</t>
  </si>
  <si>
    <t>Rappel : part des cultures mineures de la SAU</t>
  </si>
  <si>
    <t>Total surfaces légumineuses</t>
  </si>
  <si>
    <t>Part de la surface en légumineuses</t>
  </si>
  <si>
    <t>Couverture sur la SAU hors cultures pérennes</t>
  </si>
  <si>
    <t>INDICATEUR IRRIGATION</t>
  </si>
  <si>
    <t xml:space="preserve">Total des points retenus </t>
  </si>
  <si>
    <t>Pourcentage de la surface de l'exploitation en IAE</t>
  </si>
  <si>
    <t>Présence de ruches</t>
  </si>
  <si>
    <t>Variété, race ou espèce menacée</t>
  </si>
  <si>
    <t>Limitation de l'utilisation de substances CMR</t>
  </si>
  <si>
    <t>Indicateur de fréquence de traitement phytosanitaire</t>
  </si>
  <si>
    <t>Utilisation des méthodes alternatives</t>
  </si>
  <si>
    <t>Conditions d'application des traitements</t>
  </si>
  <si>
    <t>Utilisation d'outils de mesure</t>
  </si>
  <si>
    <t>Indicateur Phytosanitaire</t>
  </si>
  <si>
    <t>Indicateur Fertilisation</t>
  </si>
  <si>
    <t>Indicateur Biodiversité</t>
  </si>
  <si>
    <t>Indicateur Irrigation</t>
  </si>
  <si>
    <t>AB</t>
  </si>
  <si>
    <t>AOP</t>
  </si>
  <si>
    <t>IGP</t>
  </si>
  <si>
    <t>STG</t>
  </si>
  <si>
    <t>Label rouge</t>
  </si>
  <si>
    <t>AOC</t>
  </si>
  <si>
    <t>Produit de montagne</t>
  </si>
  <si>
    <t>Montagne</t>
  </si>
  <si>
    <t>Fermier</t>
  </si>
  <si>
    <t>Produit de la ferme</t>
  </si>
  <si>
    <t>Produit à la ferme</t>
  </si>
  <si>
    <t>Produit pays</t>
  </si>
  <si>
    <t>CCP</t>
  </si>
  <si>
    <t>Système Grandes Cultures</t>
  </si>
  <si>
    <t>Pomme de Terre</t>
  </si>
  <si>
    <t>Verger</t>
  </si>
  <si>
    <t>Culture enquête PK à utiliser pour la mise à jour des valeurs</t>
  </si>
  <si>
    <t>Agrumes</t>
  </si>
  <si>
    <t>Nectarinier-Pêcher</t>
  </si>
  <si>
    <t>Grand bassin viticole (France Agrimer)</t>
  </si>
  <si>
    <t>Herbicides – plafond</t>
  </si>
  <si>
    <t>Hors Herbicides – plafond</t>
  </si>
  <si>
    <t>Alsace-Est</t>
  </si>
  <si>
    <t>Autres zones viticoles - Alsace-Est</t>
  </si>
  <si>
    <t>Bordeaux-Aquitaine</t>
  </si>
  <si>
    <t>Bourgogne-Beaujolais-Savoie-Jura</t>
  </si>
  <si>
    <t>Jura</t>
  </si>
  <si>
    <t>Autres zones viticoles -Bourgogne-Beaujolais-Savoie-Jura</t>
  </si>
  <si>
    <t>Autres zones viticoles - Champagne</t>
  </si>
  <si>
    <t>Vallée du Rhône - Provence</t>
  </si>
  <si>
    <t>Côtes-du-Rhône-Nord (septentrional)</t>
  </si>
  <si>
    <t>Côtes-du-Rhône-Sud (méridional)</t>
  </si>
  <si>
    <t>Autres zones viticoles Vallée du Rhône-Provence</t>
  </si>
  <si>
    <t>Sud-Ouest</t>
  </si>
  <si>
    <t>Autres zones viticoles - Sud-Ouest</t>
  </si>
  <si>
    <t>Val de Loire - Centre</t>
  </si>
  <si>
    <t>Autres zones viticoles Val de Loire - Centre</t>
  </si>
  <si>
    <t>Autres zones viticoles</t>
  </si>
  <si>
    <t>Herbicides</t>
  </si>
  <si>
    <t>Hors Herbicides</t>
  </si>
  <si>
    <t>Notations IFT</t>
  </si>
  <si>
    <t>IFT Grandes cultures Herbicides</t>
  </si>
  <si>
    <t>IFT Grandes cultures Hors Herbicides</t>
  </si>
  <si>
    <t>IFT Vignes Herbicides</t>
  </si>
  <si>
    <t>IFT Vignes Hors Herbicides</t>
  </si>
  <si>
    <t>IFT Arboricultures Herbicides</t>
  </si>
  <si>
    <t>IFT Arboricultures Hors Herbicides</t>
  </si>
  <si>
    <t>1.30 =&lt; IFT &lt; 1.40</t>
  </si>
  <si>
    <t>1.20 =&lt; IFT &lt; 1.30</t>
  </si>
  <si>
    <t>1.10 =&lt; IFT &lt; 1.20</t>
  </si>
  <si>
    <t>1 =&lt; IFT &lt; 1.10</t>
  </si>
  <si>
    <t>Merci de modifier, si besoin, uniquement les variables de la ligne 125 pour modifier la valeur des maximums des noations</t>
  </si>
  <si>
    <t>Maximums de points</t>
  </si>
  <si>
    <t>Département du siège social de l'exploitation</t>
  </si>
  <si>
    <t>01</t>
  </si>
  <si>
    <t>02</t>
  </si>
  <si>
    <t>2A</t>
  </si>
  <si>
    <t>2B</t>
  </si>
  <si>
    <t>04</t>
  </si>
  <si>
    <t>05</t>
  </si>
  <si>
    <t>06</t>
  </si>
  <si>
    <t>09</t>
  </si>
  <si>
    <t>03</t>
  </si>
  <si>
    <t xml:space="preserve">Tableau des valeurs plancher et plafond à utiliser pour le calcul des points </t>
  </si>
  <si>
    <t>Région:</t>
  </si>
  <si>
    <t>plancher</t>
  </si>
  <si>
    <t>plafond</t>
  </si>
  <si>
    <t>herbicides</t>
  </si>
  <si>
    <t>HH</t>
  </si>
  <si>
    <t>Corresp</t>
  </si>
  <si>
    <t>Clé</t>
  </si>
  <si>
    <t>Clé  Scoring actuel</t>
  </si>
  <si>
    <t>Clé  Ancien scoring</t>
  </si>
  <si>
    <t>Clé 2 pour pK</t>
  </si>
  <si>
    <t>Clé 2 pour PK</t>
  </si>
  <si>
    <t>clé 2</t>
  </si>
  <si>
    <t>clé 3</t>
  </si>
  <si>
    <t>à masquer : pour IFT</t>
  </si>
  <si>
    <t>ancien système</t>
  </si>
  <si>
    <t>Nombre de points sur IFT – herbicides</t>
  </si>
  <si>
    <t>Nombre de points sur IFT – hors herbicides</t>
  </si>
  <si>
    <t>Nb de points sur IFT – herbicides – ancienne notation</t>
  </si>
  <si>
    <t>Nb de points sur IFT – hors herbicides – ancienne notation</t>
  </si>
  <si>
    <t>Condition utilisation ancienne notation</t>
  </si>
  <si>
    <t>Sélection ancienne notation</t>
  </si>
  <si>
    <t xml:space="preserve">AUDIT DE NIVEAU 3 : HAUTE VALEUR ENVIRONNEMENTALE </t>
  </si>
  <si>
    <t>CERTIFICATION ENVIRONNEMENTALE DES EXPLOITATIONS AGRICOLES V2022</t>
  </si>
  <si>
    <t>AUDIT DE NIVEAU 3 : HAUTE VALEUR ENVIRONNEMENTALE</t>
  </si>
  <si>
    <t>Si dans un cadre collectif, précisez la structure porteuse de la certification</t>
  </si>
  <si>
    <t>Surfaces en hectares</t>
  </si>
  <si>
    <t xml:space="preserve">Légumes, fleurs (y compris les plantes médicinales, à parfum, ornementales, aromatiques) et fruits hors arboriculture </t>
  </si>
  <si>
    <t>Total horticulture et pépinière</t>
  </si>
  <si>
    <t>Surface des IAE sur terres arables convertie</t>
  </si>
  <si>
    <t>Surface des IAE sur la surface totale de l'exploitation convertie</t>
  </si>
  <si>
    <t>Max points théorique</t>
  </si>
  <si>
    <t xml:space="preserve">L'enregistrement des IAE est-il exhaustif ? </t>
  </si>
  <si>
    <t>SAU de l'exploitation</t>
  </si>
  <si>
    <t>Surfaces en prairies permanentes non traitées</t>
  </si>
  <si>
    <t>Quantité à saisir (kg)</t>
  </si>
  <si>
    <t>Autre démarche 1</t>
  </si>
  <si>
    <t>Autre démarche 2</t>
  </si>
  <si>
    <t>Surface en hectares</t>
  </si>
  <si>
    <t xml:space="preserve">Total des points obtenus </t>
  </si>
  <si>
    <t>Total des points retenus au prorata de la surface concernée</t>
  </si>
  <si>
    <t>Plafond retenu</t>
  </si>
  <si>
    <t>Plancher retenu</t>
  </si>
  <si>
    <t>utilisant l'un des matériels listés à l'annexe 6 du plan de contrôle.</t>
  </si>
  <si>
    <t xml:space="preserve">Les méthodes manuelles, si elles sont une opération équivalente à la mise en œuvre d’un matériel de l’annexe 6 et sous réserve qu’elles soient contrôlables, sont prises en compte. </t>
  </si>
  <si>
    <r>
      <t>Quantité à saisir en</t>
    </r>
    <r>
      <rPr>
        <b/>
        <sz val="8.5"/>
        <color theme="1"/>
        <rFont val="Calibri"/>
        <family val="2"/>
      </rPr>
      <t xml:space="preserve"> t</t>
    </r>
  </si>
  <si>
    <t>Quantité totale d'azote apporté</t>
  </si>
  <si>
    <t>Part d'azote organique</t>
  </si>
  <si>
    <t>Total points cultures principales</t>
  </si>
  <si>
    <t>Cultures mineures : utilisation d'un outil PPF</t>
  </si>
  <si>
    <t>Total points cultures mineures</t>
  </si>
  <si>
    <t>Utilisation d'un outil PPF (plan prévisionnel de fertilisation)</t>
  </si>
  <si>
    <t>Utilisation d’un outil PPF Aj (ajustement du PPF) ou ODP (outil de pilotage)</t>
  </si>
  <si>
    <t>Total des points obtenus</t>
  </si>
  <si>
    <t>Bilan azoté</t>
  </si>
  <si>
    <t>x = distance /4</t>
  </si>
  <si>
    <t>2x</t>
  </si>
  <si>
    <t>3x</t>
  </si>
  <si>
    <t>4x</t>
  </si>
  <si>
    <t>points</t>
  </si>
  <si>
    <t>Culture IFT</t>
  </si>
  <si>
    <t>Kumquat</t>
  </si>
  <si>
    <r>
      <rPr>
        <b/>
        <sz val="11"/>
        <color theme="1"/>
        <rFont val="Calibri"/>
        <family val="2"/>
      </rPr>
      <t>Source</t>
    </r>
    <r>
      <rPr>
        <sz val="11"/>
        <color theme="1"/>
        <rFont val="Calibri"/>
        <family val="2"/>
        <scheme val="minor"/>
      </rPr>
      <t> : SSP – Agreste – Grandes cultures : enquêtes sur les pratiques culturales en 2011 et en 2017, et sur les pratiques phytosanitaires en 2014</t>
    </r>
  </si>
  <si>
    <t>Code_departement</t>
  </si>
  <si>
    <t>Nom_departement</t>
  </si>
  <si>
    <t>REGION</t>
  </si>
  <si>
    <t>Nom_ancienne_region</t>
  </si>
  <si>
    <t>Zone_a_preciser</t>
  </si>
  <si>
    <t>Bassin_viticole</t>
  </si>
  <si>
    <t>Ain</t>
  </si>
  <si>
    <t>Aisne</t>
  </si>
  <si>
    <t>Allier</t>
  </si>
  <si>
    <t>Alpes-de-Haute-Provence</t>
  </si>
  <si>
    <t>Hautes-Alpes</t>
  </si>
  <si>
    <t>Alpes-Maritimes</t>
  </si>
  <si>
    <t>07</t>
  </si>
  <si>
    <t>Ardèche</t>
  </si>
  <si>
    <t>08</t>
  </si>
  <si>
    <t>Ardennes</t>
  </si>
  <si>
    <t>Ariège</t>
  </si>
  <si>
    <t>Aube</t>
  </si>
  <si>
    <t>Aude</t>
  </si>
  <si>
    <t>Aveyron</t>
  </si>
  <si>
    <t>Calvados</t>
  </si>
  <si>
    <t>Cantal</t>
  </si>
  <si>
    <t>Charente</t>
  </si>
  <si>
    <t>Charente-Maritime</t>
  </si>
  <si>
    <t>Corrèze</t>
  </si>
  <si>
    <t>Côte-d'Or</t>
  </si>
  <si>
    <t>Côtes-d'Armor</t>
  </si>
  <si>
    <t>Creuse</t>
  </si>
  <si>
    <t>Doubs</t>
  </si>
  <si>
    <t>Drôme</t>
  </si>
  <si>
    <t>Eure</t>
  </si>
  <si>
    <t>Eure-et-Loir</t>
  </si>
  <si>
    <t>Finistère</t>
  </si>
  <si>
    <t>Gard</t>
  </si>
  <si>
    <t>Haute-Garonne</t>
  </si>
  <si>
    <t>Gironde</t>
  </si>
  <si>
    <t>Hérault</t>
  </si>
  <si>
    <t>Ille-et-Vilaine</t>
  </si>
  <si>
    <t>Indre</t>
  </si>
  <si>
    <t>Indre-et-Loire</t>
  </si>
  <si>
    <t>Isère</t>
  </si>
  <si>
    <t>Landes</t>
  </si>
  <si>
    <t>Loir-et-Cher</t>
  </si>
  <si>
    <t>Loire</t>
  </si>
  <si>
    <t>Haute-Loire</t>
  </si>
  <si>
    <t>Loire-Atlantique</t>
  </si>
  <si>
    <t>Loiret</t>
  </si>
  <si>
    <t>Lot</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</si>
  <si>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</si>
  <si>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</si>
  <si>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</si>
  <si>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</si>
  <si>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</si>
  <si>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</si>
  <si>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</si>
  <si>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</si>
  <si>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</si>
  <si>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</si>
  <si>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</si>
  <si>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</si>
  <si>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</si>
  <si>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</si>
  <si>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</si>
  <si>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</si>
  <si>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</si>
  <si>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</si>
  <si>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Bas-Rhin</t>
  </si>
  <si>
    <t>Haut-Rhin</t>
  </si>
  <si>
    <t>Rhône</t>
  </si>
  <si>
    <t>Périmètre AOC Beaujolais</t>
  </si>
  <si>
    <t>Hors périmètre AOC Beaujolais</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</si>
  <si>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</si>
  <si>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</si>
  <si>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</si>
  <si>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</si>
  <si>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</si>
  <si>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</si>
  <si>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</si>
  <si>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</si>
  <si>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</si>
  <si>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</si>
  <si>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</si>
  <si>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</si>
  <si>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</si>
  <si>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</si>
  <si>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</si>
  <si>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</si>
  <si>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</si>
  <si>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</si>
  <si>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</si>
  <si>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</si>
  <si>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</si>
  <si>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</si>
  <si>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</si>
  <si>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</si>
  <si>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</si>
  <si>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</si>
  <si>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La Réunion</t>
  </si>
  <si>
    <t>Mayotte</t>
  </si>
  <si>
    <t>Corse-du-Sud</t>
  </si>
  <si>
    <t>Haute-Corse</t>
  </si>
  <si>
    <t>Partie nord</t>
  </si>
  <si>
    <t>Partie sud</t>
  </si>
  <si>
    <t>Pays De La Loire</t>
  </si>
  <si>
    <t>Nord-Pas-De-Calais</t>
  </si>
  <si>
    <t>Ile-De-France</t>
  </si>
  <si>
    <t>La Reunion</t>
  </si>
  <si>
    <t>IFT hors herbicides - ancienne méthode 
(exclusion tournesol, maïs et prairies temporaires)</t>
  </si>
  <si>
    <t>Surface</t>
  </si>
  <si>
    <t>A masquer</t>
  </si>
  <si>
    <t>Grandes cultures (avec PDT)</t>
  </si>
  <si>
    <t>IFT - hors herbicides</t>
  </si>
  <si>
    <t>IFT - hors herbicides ancienne méthode</t>
  </si>
  <si>
    <t>% Surface tournesol, maïs, prairie temporaire</t>
  </si>
  <si>
    <t>Ancienne notation - ancienne méthode sans pénalité</t>
  </si>
  <si>
    <t>Ancienne notation - ancienne méthode avec pénalité</t>
  </si>
  <si>
    <t>Ancienne notation - nouvelle méthode</t>
  </si>
  <si>
    <t>Modalités prise en compte ancienne méthode IFT en grandes cultures :</t>
  </si>
  <si>
    <t>Prise en compte sans pénalité surfacique = 1</t>
  </si>
  <si>
    <t>Prise en compte avec pénalité surfacique = 2</t>
  </si>
  <si>
    <t>Pas de prise en compte ancienne méthode (uniquement maj notation) = 3</t>
  </si>
  <si>
    <t>Grande cultures</t>
  </si>
  <si>
    <t>Région de référence</t>
  </si>
  <si>
    <t>Informations relatives à l'exploitation</t>
  </si>
  <si>
    <t>Activité végétale</t>
  </si>
  <si>
    <t xml:space="preserve">Information sur la certification </t>
  </si>
  <si>
    <t>Organisme Certificateur</t>
  </si>
  <si>
    <t>N°SIRET</t>
  </si>
  <si>
    <t>Nom ou Raison sociale</t>
  </si>
  <si>
    <t>Adresse</t>
  </si>
  <si>
    <t>Code Postal</t>
  </si>
  <si>
    <t xml:space="preserve">Région </t>
  </si>
  <si>
    <r>
      <t xml:space="preserve">Département
</t>
    </r>
    <r>
      <rPr>
        <i/>
        <sz val="10"/>
        <rFont val="Arial"/>
        <family val="2"/>
      </rPr>
      <t>(en toutes lettres)</t>
    </r>
  </si>
  <si>
    <t>Commune</t>
  </si>
  <si>
    <t>Téléphone</t>
  </si>
  <si>
    <t>email</t>
  </si>
  <si>
    <t>Site internet</t>
  </si>
  <si>
    <t>Activité principale 
(secteur animal)</t>
  </si>
  <si>
    <t>Activité secondaire
(secteur animal)</t>
  </si>
  <si>
    <t>Autre activité
(secteur animal)</t>
  </si>
  <si>
    <t>Activité principale 
(secteur végétal)</t>
  </si>
  <si>
    <t>Activité secondaire
(secteur végétal)</t>
  </si>
  <si>
    <t>Autre activité
(secteur végétal)</t>
  </si>
  <si>
    <t>Niveau</t>
  </si>
  <si>
    <t>Option</t>
  </si>
  <si>
    <t>Surface totale de l'exploitation (en ha)</t>
  </si>
  <si>
    <r>
      <t xml:space="preserve">Type de certification
</t>
    </r>
    <r>
      <rPr>
        <i/>
        <sz val="10"/>
        <rFont val="Arial"/>
        <family val="2"/>
      </rPr>
      <t>(Individuelle/collective)</t>
    </r>
  </si>
  <si>
    <r>
      <t xml:space="preserve">Nom de la structure collective </t>
    </r>
    <r>
      <rPr>
        <i/>
        <sz val="10"/>
        <rFont val="Arial"/>
        <family val="2"/>
      </rPr>
      <t>(le cas échéant)</t>
    </r>
  </si>
  <si>
    <t>Engagement dans une démarche de niveau 2</t>
  </si>
  <si>
    <t>Engagement dans un autre mode de valorisation officiel de la qualité</t>
  </si>
  <si>
    <t>Date de suspension de la certification</t>
  </si>
  <si>
    <t>Date d'arrêt de la certification</t>
  </si>
  <si>
    <t>Vente directe</t>
  </si>
  <si>
    <r>
      <rPr>
        <b/>
        <sz val="10"/>
        <rFont val="Arial"/>
        <family val="2"/>
      </rPr>
      <t xml:space="preserve">Accord annuaire
</t>
    </r>
    <r>
      <rPr>
        <i/>
        <sz val="10"/>
        <rFont val="Arial"/>
        <family val="2"/>
      </rPr>
      <t>(OUI/NON)</t>
    </r>
  </si>
  <si>
    <t>Commentaire OC</t>
  </si>
  <si>
    <t>Bassin viticole de référence</t>
  </si>
  <si>
    <t>Part de la surface concernée arboriculture et autres cultures pérennes</t>
  </si>
  <si>
    <t>Part de la surface concernée cultures hors sol</t>
  </si>
  <si>
    <t>Total SAU irriguée</t>
  </si>
  <si>
    <t>Niveau 3</t>
  </si>
  <si>
    <t>Ancien plancher</t>
  </si>
  <si>
    <t>Auvergne-Rhône-Alpes</t>
  </si>
  <si>
    <t>Bourgogne-Franche-Comté</t>
  </si>
  <si>
    <t>Centre-Val de Loire</t>
  </si>
  <si>
    <t>Grand Est</t>
  </si>
  <si>
    <t>Hauts-de-France</t>
  </si>
  <si>
    <t>Normandie</t>
  </si>
  <si>
    <t>Nouvelle-Aquitaine</t>
  </si>
  <si>
    <t>Occitanie</t>
  </si>
  <si>
    <t xml:space="preserve">Liste des communes localisées dans les parties nord / sud de l'Ardèche et de la Drôme </t>
  </si>
  <si>
    <t>Se référer à cette liste pour sélectionner la bonne modalité de la variable  "Département" dans la table Identification. Elle est déterminante pour définir le bassin viticole correspondant à l'exploitation et procéder au calcul de la note du critère IFT</t>
  </si>
  <si>
    <t>Nom de la commune</t>
  </si>
  <si>
    <t>Sous-zonage pour l'identification du bassin viticole</t>
  </si>
  <si>
    <t>Code_commune_insee_2021</t>
  </si>
  <si>
    <t>Accons</t>
  </si>
  <si>
    <t>07001</t>
  </si>
  <si>
    <t>Ailhon</t>
  </si>
  <si>
    <t>07002</t>
  </si>
  <si>
    <t>Aizac</t>
  </si>
  <si>
    <t>07003</t>
  </si>
  <si>
    <t>Ajoux</t>
  </si>
  <si>
    <t>07004</t>
  </si>
  <si>
    <t>Alba-la-Romaine</t>
  </si>
  <si>
    <t>07005</t>
  </si>
  <si>
    <t>Albon</t>
  </si>
  <si>
    <t>26002</t>
  </si>
  <si>
    <t>Albon-d'Ardèche</t>
  </si>
  <si>
    <t>07006</t>
  </si>
  <si>
    <t>Alboussière</t>
  </si>
  <si>
    <t>07007</t>
  </si>
  <si>
    <t>Aleyrac</t>
  </si>
  <si>
    <t>26003</t>
  </si>
  <si>
    <t>Alissas</t>
  </si>
  <si>
    <t>07008</t>
  </si>
  <si>
    <t>Alixan</t>
  </si>
  <si>
    <t>26004</t>
  </si>
  <si>
    <t>Allan</t>
  </si>
  <si>
    <t>26005</t>
  </si>
  <si>
    <t>Allex</t>
  </si>
  <si>
    <t>26006</t>
  </si>
  <si>
    <t>Ambonil</t>
  </si>
  <si>
    <t>26007</t>
  </si>
  <si>
    <t>Ancône</t>
  </si>
  <si>
    <t>26008</t>
  </si>
  <si>
    <t>Andance</t>
  </si>
  <si>
    <t>07009</t>
  </si>
  <si>
    <t>Andancette</t>
  </si>
  <si>
    <t>26009</t>
  </si>
  <si>
    <t>Anneyron</t>
  </si>
  <si>
    <t>26010</t>
  </si>
  <si>
    <t>Annonay</t>
  </si>
  <si>
    <t>07010</t>
  </si>
  <si>
    <t>Aouste-sur-Sye</t>
  </si>
  <si>
    <t>26011</t>
  </si>
  <si>
    <t>Arcens</t>
  </si>
  <si>
    <t>07012</t>
  </si>
  <si>
    <t>Ardoix</t>
  </si>
  <si>
    <t>07013</t>
  </si>
  <si>
    <t>Arlebosc</t>
  </si>
  <si>
    <t>07014</t>
  </si>
  <si>
    <t>Arnayon</t>
  </si>
  <si>
    <t>26012</t>
  </si>
  <si>
    <t>Arpavon</t>
  </si>
  <si>
    <t>26013</t>
  </si>
  <si>
    <t>Arras-sur-Rhône</t>
  </si>
  <si>
    <t>07015</t>
  </si>
  <si>
    <t>Arthémonay</t>
  </si>
  <si>
    <t>26014</t>
  </si>
  <si>
    <t>Astet</t>
  </si>
  <si>
    <t>07018</t>
  </si>
  <si>
    <t>Aubenas</t>
  </si>
  <si>
    <t>07019</t>
  </si>
  <si>
    <t>Aubenasson</t>
  </si>
  <si>
    <t>26015</t>
  </si>
  <si>
    <t>Aubignas</t>
  </si>
  <si>
    <t>07020</t>
  </si>
  <si>
    <t>Aubres</t>
  </si>
  <si>
    <t>26016</t>
  </si>
  <si>
    <t>Aucelon</t>
  </si>
  <si>
    <t>26017</t>
  </si>
  <si>
    <t>Aulan</t>
  </si>
  <si>
    <t>26018</t>
  </si>
  <si>
    <t>Aurel</t>
  </si>
  <si>
    <t>26019</t>
  </si>
  <si>
    <t>Autichamp</t>
  </si>
  <si>
    <t>26021</t>
  </si>
  <si>
    <t>Baix</t>
  </si>
  <si>
    <t>07022</t>
  </si>
  <si>
    <t>Balazuc</t>
  </si>
  <si>
    <t>07023</t>
  </si>
  <si>
    <t>Ballons</t>
  </si>
  <si>
    <t>26022</t>
  </si>
  <si>
    <t>Banne</t>
  </si>
  <si>
    <t>07024</t>
  </si>
  <si>
    <t>Barbières</t>
  </si>
  <si>
    <t>26023</t>
  </si>
  <si>
    <t>Barcelonne</t>
  </si>
  <si>
    <t>26024</t>
  </si>
  <si>
    <t>Barnas</t>
  </si>
  <si>
    <t>07025</t>
  </si>
  <si>
    <t>Barnave</t>
  </si>
  <si>
    <t>26025</t>
  </si>
  <si>
    <t>Barret-de-Lioure</t>
  </si>
  <si>
    <t>26026</t>
  </si>
  <si>
    <t>Barsac</t>
  </si>
  <si>
    <t>26027</t>
  </si>
  <si>
    <t>Bathernay</t>
  </si>
  <si>
    <t>26028</t>
  </si>
  <si>
    <t>Beauchastel</t>
  </si>
  <si>
    <t>07027</t>
  </si>
  <si>
    <t>Beaufort-sur-Gervanne</t>
  </si>
  <si>
    <t>26035</t>
  </si>
  <si>
    <t>Beaulieu</t>
  </si>
  <si>
    <t>07028</t>
  </si>
  <si>
    <t>Beaumont</t>
  </si>
  <si>
    <t>07029</t>
  </si>
  <si>
    <t>Beaumont-en-Diois</t>
  </si>
  <si>
    <t>26036</t>
  </si>
  <si>
    <t>Beaumont-lès-Valence</t>
  </si>
  <si>
    <t>26037</t>
  </si>
  <si>
    <t>Beaumont-Monteux</t>
  </si>
  <si>
    <t>26038</t>
  </si>
  <si>
    <t>Beauregard-Baret</t>
  </si>
  <si>
    <t>26039</t>
  </si>
  <si>
    <t>Beaurières</t>
  </si>
  <si>
    <t>26040</t>
  </si>
  <si>
    <t>Beausemblant</t>
  </si>
  <si>
    <t>26041</t>
  </si>
  <si>
    <t>Beauvallon</t>
  </si>
  <si>
    <t>26042</t>
  </si>
  <si>
    <t>Beauvène</t>
  </si>
  <si>
    <t>07030</t>
  </si>
  <si>
    <t>Beauvoisin</t>
  </si>
  <si>
    <t>26043</t>
  </si>
  <si>
    <t>Bellecombe-Tarendol</t>
  </si>
  <si>
    <t>26046</t>
  </si>
  <si>
    <t>Bellegarde-en-Diois</t>
  </si>
  <si>
    <t>26047</t>
  </si>
  <si>
    <t>Belsentes</t>
  </si>
  <si>
    <t>07165</t>
  </si>
  <si>
    <t>Bénivay-Ollon</t>
  </si>
  <si>
    <t>26048</t>
  </si>
  <si>
    <t>Berrias-et-Casteljau</t>
  </si>
  <si>
    <t>07031</t>
  </si>
  <si>
    <t>Berzème</t>
  </si>
  <si>
    <t>07032</t>
  </si>
  <si>
    <t>Bésayes</t>
  </si>
  <si>
    <t>26049</t>
  </si>
  <si>
    <t>Bésignan</t>
  </si>
  <si>
    <t>26050</t>
  </si>
  <si>
    <t>Bessas</t>
  </si>
  <si>
    <t>07033</t>
  </si>
  <si>
    <t>Bézaudun-sur-Bîne</t>
  </si>
  <si>
    <t>26051</t>
  </si>
  <si>
    <t>Bidon</t>
  </si>
  <si>
    <t>07034</t>
  </si>
  <si>
    <t>Boffres</t>
  </si>
  <si>
    <t>07035</t>
  </si>
  <si>
    <t>Bogy</t>
  </si>
  <si>
    <t>07036</t>
  </si>
  <si>
    <t>Bonlieu-sur-Roubion</t>
  </si>
  <si>
    <t>26052</t>
  </si>
  <si>
    <t>Borée</t>
  </si>
  <si>
    <t>07037</t>
  </si>
  <si>
    <t>Borne</t>
  </si>
  <si>
    <t>07038</t>
  </si>
  <si>
    <t>Bouchet</t>
  </si>
  <si>
    <t>26054</t>
  </si>
  <si>
    <t>Boucieu-le-Roi</t>
  </si>
  <si>
    <t>07040</t>
  </si>
  <si>
    <t>Boulc</t>
  </si>
  <si>
    <t>26055</t>
  </si>
  <si>
    <t>Boulieu-lès-Annonay</t>
  </si>
  <si>
    <t>07041</t>
  </si>
  <si>
    <t>Bourdeaux</t>
  </si>
  <si>
    <t>26056</t>
  </si>
  <si>
    <t>Bourg-de-Péage</t>
  </si>
  <si>
    <t>26057</t>
  </si>
  <si>
    <t>Bourg-lès-Valence</t>
  </si>
  <si>
    <t>26058</t>
  </si>
  <si>
    <t>Bourg-Saint-Andéol</t>
  </si>
  <si>
    <t>07042</t>
  </si>
  <si>
    <t>Bouvante</t>
  </si>
  <si>
    <t>26059</t>
  </si>
  <si>
    <t>Bouvières</t>
  </si>
  <si>
    <t>26060</t>
  </si>
  <si>
    <t>Bozas</t>
  </si>
  <si>
    <t>07039</t>
  </si>
  <si>
    <t>Bren</t>
  </si>
  <si>
    <t>26061</t>
  </si>
  <si>
    <t>Brette</t>
  </si>
  <si>
    <t>26062</t>
  </si>
  <si>
    <t>Brossainc</t>
  </si>
  <si>
    <t>07044</t>
  </si>
  <si>
    <t>Buis-les-Baronnies</t>
  </si>
  <si>
    <t>26063</t>
  </si>
  <si>
    <t>Burzet</t>
  </si>
  <si>
    <t>07045</t>
  </si>
  <si>
    <t>Cellier-du-Luc</t>
  </si>
  <si>
    <t>07047</t>
  </si>
  <si>
    <t>Chabeuil</t>
  </si>
  <si>
    <t>26064</t>
  </si>
  <si>
    <t>Chabrillan</t>
  </si>
  <si>
    <t>26065</t>
  </si>
  <si>
    <t>Chalancon</t>
  </si>
  <si>
    <t>26067</t>
  </si>
  <si>
    <t>Chalencon</t>
  </si>
  <si>
    <t>07048</t>
  </si>
  <si>
    <t>Chamaloc</t>
  </si>
  <si>
    <t>26069</t>
  </si>
  <si>
    <t>Chamaret</t>
  </si>
  <si>
    <t>26070</t>
  </si>
  <si>
    <t>Chambonas</t>
  </si>
  <si>
    <t>07050</t>
  </si>
  <si>
    <t>07051</t>
  </si>
  <si>
    <t>Champis</t>
  </si>
  <si>
    <t>07052</t>
  </si>
  <si>
    <t>Chandolas</t>
  </si>
  <si>
    <t>07053</t>
  </si>
  <si>
    <t>Chanéac</t>
  </si>
  <si>
    <t>07054</t>
  </si>
  <si>
    <t>Chanos-Curson</t>
  </si>
  <si>
    <t>26071</t>
  </si>
  <si>
    <t>Chantemerle-les-Blés</t>
  </si>
  <si>
    <t>26072</t>
  </si>
  <si>
    <t>Chantemerle-lès-Grignan</t>
  </si>
  <si>
    <t>26073</t>
  </si>
  <si>
    <t>Charens</t>
  </si>
  <si>
    <t>26076</t>
  </si>
  <si>
    <t>Charmes-sur-l'Herbasse</t>
  </si>
  <si>
    <t>26077</t>
  </si>
  <si>
    <t>Charmes-sur-Rhône</t>
  </si>
  <si>
    <t>07055</t>
  </si>
  <si>
    <t>Charnas</t>
  </si>
  <si>
    <t>07056</t>
  </si>
  <si>
    <t>Charols</t>
  </si>
  <si>
    <t>26078</t>
  </si>
  <si>
    <t>Charpey</t>
  </si>
  <si>
    <t>26079</t>
  </si>
  <si>
    <t>Chassiers</t>
  </si>
  <si>
    <t>07058</t>
  </si>
  <si>
    <t>Chastel-Arnaud</t>
  </si>
  <si>
    <t>26080</t>
  </si>
  <si>
    <t>Châteaubourg</t>
  </si>
  <si>
    <t>07059</t>
  </si>
  <si>
    <t>Châteaudouble</t>
  </si>
  <si>
    <t>26081</t>
  </si>
  <si>
    <t>Châteauneuf-de-Bordette</t>
  </si>
  <si>
    <t>26082</t>
  </si>
  <si>
    <t>Châteauneuf-de-Galaure</t>
  </si>
  <si>
    <t>26083</t>
  </si>
  <si>
    <t>Châteauneuf-de-Vernoux</t>
  </si>
  <si>
    <t>07060</t>
  </si>
  <si>
    <t>Châteauneuf-du-Rhône</t>
  </si>
  <si>
    <t>26085</t>
  </si>
  <si>
    <t>Châteauneuf-sur-Isère</t>
  </si>
  <si>
    <t>26084</t>
  </si>
  <si>
    <t>Châtillon-en-Diois</t>
  </si>
  <si>
    <t>26086</t>
  </si>
  <si>
    <t>Châtillon-Saint-Jean</t>
  </si>
  <si>
    <t>26087</t>
  </si>
  <si>
    <t>Chatuzange-le-Goubet</t>
  </si>
  <si>
    <t>26088</t>
  </si>
  <si>
    <t>Chaudebonne</t>
  </si>
  <si>
    <t>26089</t>
  </si>
  <si>
    <t>Chauvac-Laux-Montaux</t>
  </si>
  <si>
    <t>26091</t>
  </si>
  <si>
    <t>Chauzon</t>
  </si>
  <si>
    <t>07061</t>
  </si>
  <si>
    <t>Chavannes</t>
  </si>
  <si>
    <t>26092</t>
  </si>
  <si>
    <t>Chazeaux</t>
  </si>
  <si>
    <t>07062</t>
  </si>
  <si>
    <t>Cheminas</t>
  </si>
  <si>
    <t>07063</t>
  </si>
  <si>
    <t>Chirols</t>
  </si>
  <si>
    <t>07065</t>
  </si>
  <si>
    <t>Chomérac</t>
  </si>
  <si>
    <t>07066</t>
  </si>
  <si>
    <t>Clansayes</t>
  </si>
  <si>
    <t>26093</t>
  </si>
  <si>
    <t>Claveyson</t>
  </si>
  <si>
    <t>26094</t>
  </si>
  <si>
    <t>Cléon-d'Andran</t>
  </si>
  <si>
    <t>26095</t>
  </si>
  <si>
    <t>Clérieux</t>
  </si>
  <si>
    <t>26096</t>
  </si>
  <si>
    <t>Cliousclat</t>
  </si>
  <si>
    <t>26097</t>
  </si>
  <si>
    <t>Cobonne</t>
  </si>
  <si>
    <t>26098</t>
  </si>
  <si>
    <t>Colombier-le-Cardinal</t>
  </si>
  <si>
    <t>07067</t>
  </si>
  <si>
    <t>Colombier-le-Jeune</t>
  </si>
  <si>
    <t>07068</t>
  </si>
  <si>
    <t>Colombier-le-Vieux</t>
  </si>
  <si>
    <t>07069</t>
  </si>
  <si>
    <t>Colonzelle</t>
  </si>
  <si>
    <t>26099</t>
  </si>
  <si>
    <t>Combovin</t>
  </si>
  <si>
    <t>26100</t>
  </si>
  <si>
    <t>Comps</t>
  </si>
  <si>
    <t>26101</t>
  </si>
  <si>
    <t>Condillac</t>
  </si>
  <si>
    <t>26102</t>
  </si>
  <si>
    <t>Condorcet</t>
  </si>
  <si>
    <t>26103</t>
  </si>
  <si>
    <t>Cornas</t>
  </si>
  <si>
    <t>07070</t>
  </si>
  <si>
    <t>Cornillac</t>
  </si>
  <si>
    <t>26104</t>
  </si>
  <si>
    <t>Cornillon-sur-l'Oule</t>
  </si>
  <si>
    <t>26105</t>
  </si>
  <si>
    <t>Coucouron</t>
  </si>
  <si>
    <t>07071</t>
  </si>
  <si>
    <t>Coux</t>
  </si>
  <si>
    <t>07072</t>
  </si>
  <si>
    <t>Crépol</t>
  </si>
  <si>
    <t>26107</t>
  </si>
  <si>
    <t>Crest</t>
  </si>
  <si>
    <t>26108</t>
  </si>
  <si>
    <t>Creysseilles</t>
  </si>
  <si>
    <t>07074</t>
  </si>
  <si>
    <t>Cros-de-Géorand</t>
  </si>
  <si>
    <t>07075</t>
  </si>
  <si>
    <t>Crozes-Hermitage</t>
  </si>
  <si>
    <t>26110</t>
  </si>
  <si>
    <t>Cruas</t>
  </si>
  <si>
    <t>07076</t>
  </si>
  <si>
    <t>Crupies</t>
  </si>
  <si>
    <t>26111</t>
  </si>
  <si>
    <t>Curnier</t>
  </si>
  <si>
    <t>26112</t>
  </si>
  <si>
    <t>Darbres</t>
  </si>
  <si>
    <t>07077</t>
  </si>
  <si>
    <t>Davézieux</t>
  </si>
  <si>
    <t>07078</t>
  </si>
  <si>
    <t>Désaignes</t>
  </si>
  <si>
    <t>07079</t>
  </si>
  <si>
    <t>Devesset</t>
  </si>
  <si>
    <t>07080</t>
  </si>
  <si>
    <t>Die</t>
  </si>
  <si>
    <t>26113</t>
  </si>
  <si>
    <t>Dieulefit</t>
  </si>
  <si>
    <t>26114</t>
  </si>
  <si>
    <t>Divajeu</t>
  </si>
  <si>
    <t>26115</t>
  </si>
  <si>
    <t>Dompnac</t>
  </si>
  <si>
    <t>07081</t>
  </si>
  <si>
    <t>Donzère</t>
  </si>
  <si>
    <t>26116</t>
  </si>
  <si>
    <t>Dornas</t>
  </si>
  <si>
    <t>07082</t>
  </si>
  <si>
    <t>Dunière-sur-Eyrieux</t>
  </si>
  <si>
    <t>07083</t>
  </si>
  <si>
    <t>Échevis</t>
  </si>
  <si>
    <t>26117</t>
  </si>
  <si>
    <t>Eclassan</t>
  </si>
  <si>
    <t>07084</t>
  </si>
  <si>
    <t>Empurany</t>
  </si>
  <si>
    <t>07085</t>
  </si>
  <si>
    <t>Épinouze</t>
  </si>
  <si>
    <t>26118</t>
  </si>
  <si>
    <t>Érôme</t>
  </si>
  <si>
    <t>26119</t>
  </si>
  <si>
    <t>Espeluche</t>
  </si>
  <si>
    <t>26121</t>
  </si>
  <si>
    <t>Espenel</t>
  </si>
  <si>
    <t>26122</t>
  </si>
  <si>
    <t>Establet</t>
  </si>
  <si>
    <t>26123</t>
  </si>
  <si>
    <t>Étables</t>
  </si>
  <si>
    <t>07086</t>
  </si>
  <si>
    <t>Étoile-sur-Rhône</t>
  </si>
  <si>
    <t>26124</t>
  </si>
  <si>
    <t>Eurre</t>
  </si>
  <si>
    <t>26125</t>
  </si>
  <si>
    <t>Eygalayes</t>
  </si>
  <si>
    <t>26126</t>
  </si>
  <si>
    <t>Eygaliers</t>
  </si>
  <si>
    <t>26127</t>
  </si>
  <si>
    <t>Eygluy-Escoulin</t>
  </si>
  <si>
    <t>26128</t>
  </si>
  <si>
    <t>Eymeux</t>
  </si>
  <si>
    <t>26129</t>
  </si>
  <si>
    <t>Eyroles</t>
  </si>
  <si>
    <t>26130</t>
  </si>
  <si>
    <t>Eyzahut</t>
  </si>
  <si>
    <t>26131</t>
  </si>
  <si>
    <t>Fabras</t>
  </si>
  <si>
    <t>07087</t>
  </si>
  <si>
    <t>Faugères</t>
  </si>
  <si>
    <t>07088</t>
  </si>
  <si>
    <t>Fay-le-Clos</t>
  </si>
  <si>
    <t>26133</t>
  </si>
  <si>
    <t>Félines</t>
  </si>
  <si>
    <t>07089</t>
  </si>
  <si>
    <t>Félines-sur-Rimandoule</t>
  </si>
  <si>
    <t>26134</t>
  </si>
  <si>
    <t>Ferrassières</t>
  </si>
  <si>
    <t>26135</t>
  </si>
  <si>
    <t>Flaviac</t>
  </si>
  <si>
    <t>07090</t>
  </si>
  <si>
    <t>Fons</t>
  </si>
  <si>
    <t>07091</t>
  </si>
  <si>
    <t>Francillon-sur-Roubion</t>
  </si>
  <si>
    <t>26137</t>
  </si>
  <si>
    <t>Freyssenet</t>
  </si>
  <si>
    <t>07092</t>
  </si>
  <si>
    <t>Genestelle</t>
  </si>
  <si>
    <t>07093</t>
  </si>
  <si>
    <t>Génissieux</t>
  </si>
  <si>
    <t>26139</t>
  </si>
  <si>
    <t>Gervans</t>
  </si>
  <si>
    <t>26380</t>
  </si>
  <si>
    <t>Geyssans</t>
  </si>
  <si>
    <t>26140</t>
  </si>
  <si>
    <t>Gigors-et-Lozeron</t>
  </si>
  <si>
    <t>26141</t>
  </si>
  <si>
    <t>Gilhac-et-Bruzac</t>
  </si>
  <si>
    <t>07094</t>
  </si>
  <si>
    <t>Gilhoc-sur-Ormèze</t>
  </si>
  <si>
    <t>07095</t>
  </si>
  <si>
    <t>Glandage</t>
  </si>
  <si>
    <t>26142</t>
  </si>
  <si>
    <t>Gluiras</t>
  </si>
  <si>
    <t>07096</t>
  </si>
  <si>
    <t>Glun</t>
  </si>
  <si>
    <t>07097</t>
  </si>
  <si>
    <t>Gourdon</t>
  </si>
  <si>
    <t>07098</t>
  </si>
  <si>
    <t>Grane</t>
  </si>
  <si>
    <t>26144</t>
  </si>
  <si>
    <t>Granges-les-Beaumont</t>
  </si>
  <si>
    <t>26379</t>
  </si>
  <si>
    <t>Gras</t>
  </si>
  <si>
    <t>07099</t>
  </si>
  <si>
    <t>Gravières</t>
  </si>
  <si>
    <t>07100</t>
  </si>
  <si>
    <t>Grignan</t>
  </si>
  <si>
    <t>26146</t>
  </si>
  <si>
    <t>Grospierres</t>
  </si>
  <si>
    <t>07101</t>
  </si>
  <si>
    <t>Guilherand-Granges</t>
  </si>
  <si>
    <t>07102</t>
  </si>
  <si>
    <t>Gumiane</t>
  </si>
  <si>
    <t>26147</t>
  </si>
  <si>
    <t>Hauterives</t>
  </si>
  <si>
    <t>26148</t>
  </si>
  <si>
    <t>Hostun</t>
  </si>
  <si>
    <t>26149</t>
  </si>
  <si>
    <t>Issamoulenc</t>
  </si>
  <si>
    <t>07104</t>
  </si>
  <si>
    <t>Issanlas</t>
  </si>
  <si>
    <t>07105</t>
  </si>
  <si>
    <t>Issarlès</t>
  </si>
  <si>
    <t>07106</t>
  </si>
  <si>
    <t>Izon-la-Bruisse</t>
  </si>
  <si>
    <t>26150</t>
  </si>
  <si>
    <t>Jaillans</t>
  </si>
  <si>
    <t>26381</t>
  </si>
  <si>
    <t>Jaujac</t>
  </si>
  <si>
    <t>07107</t>
  </si>
  <si>
    <t>Jaunac</t>
  </si>
  <si>
    <t>07108</t>
  </si>
  <si>
    <t>Joannas</t>
  </si>
  <si>
    <t>07109</t>
  </si>
  <si>
    <t>Jonchères</t>
  </si>
  <si>
    <t>26152</t>
  </si>
  <si>
    <t>Joyeuse</t>
  </si>
  <si>
    <t>07110</t>
  </si>
  <si>
    <t>Juvinas</t>
  </si>
  <si>
    <t>07111</t>
  </si>
  <si>
    <t>La Bâtie-des-Fonds</t>
  </si>
  <si>
    <t>26030</t>
  </si>
  <si>
    <t>La Bâtie-Rolland</t>
  </si>
  <si>
    <t>26031</t>
  </si>
  <si>
    <t>La Baume-Cornillane</t>
  </si>
  <si>
    <t>26032</t>
  </si>
  <si>
    <t>La Baume-d'Hostun</t>
  </si>
  <si>
    <t>26034</t>
  </si>
  <si>
    <t>La Baume-de-Transit</t>
  </si>
  <si>
    <t>26033</t>
  </si>
  <si>
    <t>La Bégude-de-Mazenc</t>
  </si>
  <si>
    <t>26045</t>
  </si>
  <si>
    <t>La Chapelle-en-Vercors</t>
  </si>
  <si>
    <t>26074</t>
  </si>
  <si>
    <t>La Charce</t>
  </si>
  <si>
    <t>26075</t>
  </si>
  <si>
    <t>La Chaudière</t>
  </si>
  <si>
    <t>26090</t>
  </si>
  <si>
    <t>La Coucourde</t>
  </si>
  <si>
    <t>26106</t>
  </si>
  <si>
    <t>La Garde-Adhémar</t>
  </si>
  <si>
    <t>26138</t>
  </si>
  <si>
    <t>La Laupie</t>
  </si>
  <si>
    <t>26157</t>
  </si>
  <si>
    <t>La Motte-Chalancon</t>
  </si>
  <si>
    <t>26215</t>
  </si>
  <si>
    <t>La Motte-de-Galaure</t>
  </si>
  <si>
    <t>26216</t>
  </si>
  <si>
    <t>La Motte-Fanjas</t>
  </si>
  <si>
    <t>26217</t>
  </si>
  <si>
    <t>La Penne-sur-l'Ouvèze</t>
  </si>
  <si>
    <t>26229</t>
  </si>
  <si>
    <t>La Répara-Auriples</t>
  </si>
  <si>
    <t>26020</t>
  </si>
  <si>
    <t>La Roche-de-Glun</t>
  </si>
  <si>
    <t>26271</t>
  </si>
  <si>
    <t>La Roche-sur-Grane</t>
  </si>
  <si>
    <t>26277</t>
  </si>
  <si>
    <t>La Roche-sur-le-Buis</t>
  </si>
  <si>
    <t>26278</t>
  </si>
  <si>
    <t>La Rochette</t>
  </si>
  <si>
    <t>07195</t>
  </si>
  <si>
    <t>La Rochette-du-Buis</t>
  </si>
  <si>
    <t>26279</t>
  </si>
  <si>
    <t>La Souche</t>
  </si>
  <si>
    <t>07315</t>
  </si>
  <si>
    <t>La Touche</t>
  </si>
  <si>
    <t>26352</t>
  </si>
  <si>
    <t>La Voulte-sur-Rhône</t>
  </si>
  <si>
    <t>07349</t>
  </si>
  <si>
    <t>Labastide-de-Virac</t>
  </si>
  <si>
    <t>07113</t>
  </si>
  <si>
    <t>Labastide-sur-Bésorgues</t>
  </si>
  <si>
    <t>07112</t>
  </si>
  <si>
    <t>Labatie-d'Andaure</t>
  </si>
  <si>
    <t>07114</t>
  </si>
  <si>
    <t>Labeaume</t>
  </si>
  <si>
    <t>07115</t>
  </si>
  <si>
    <t>Labégude</t>
  </si>
  <si>
    <t>07116</t>
  </si>
  <si>
    <t>Lablachère</t>
  </si>
  <si>
    <t>07117</t>
  </si>
  <si>
    <t>Laborel</t>
  </si>
  <si>
    <t>26153</t>
  </si>
  <si>
    <t>Laboule</t>
  </si>
  <si>
    <t>07118</t>
  </si>
  <si>
    <t>Lachamp-Raphaël</t>
  </si>
  <si>
    <t>07120</t>
  </si>
  <si>
    <t>Lachapelle-Graillouse</t>
  </si>
  <si>
    <t>07121</t>
  </si>
  <si>
    <t>Lachapelle-sous-Aubenas</t>
  </si>
  <si>
    <t>07122</t>
  </si>
  <si>
    <t>Lachapelle-sous-Chanéac</t>
  </si>
  <si>
    <t>07123</t>
  </si>
  <si>
    <t>Lachau</t>
  </si>
  <si>
    <t>26154</t>
  </si>
  <si>
    <t>Lafarre</t>
  </si>
  <si>
    <t>07124</t>
  </si>
  <si>
    <t>Lagorce</t>
  </si>
  <si>
    <t>07126</t>
  </si>
  <si>
    <t>Lalevade-d'Ardèche</t>
  </si>
  <si>
    <t>07127</t>
  </si>
  <si>
    <t>Lalouvesc</t>
  </si>
  <si>
    <t>07128</t>
  </si>
  <si>
    <t>Lamastre</t>
  </si>
  <si>
    <t>07129</t>
  </si>
  <si>
    <t>Lanarce</t>
  </si>
  <si>
    <t>07130</t>
  </si>
  <si>
    <t>Lanas</t>
  </si>
  <si>
    <t>07131</t>
  </si>
  <si>
    <t>Lapeyrouse-Mornay</t>
  </si>
  <si>
    <t>26155</t>
  </si>
  <si>
    <t>Largentière</t>
  </si>
  <si>
    <t>07132</t>
  </si>
  <si>
    <t>Larnage</t>
  </si>
  <si>
    <t>26156</t>
  </si>
  <si>
    <t>Larnas</t>
  </si>
  <si>
    <t>07133</t>
  </si>
  <si>
    <t>Laurac-en-Vivarais</t>
  </si>
  <si>
    <t>07134</t>
  </si>
  <si>
    <t>Laval-d'Aix</t>
  </si>
  <si>
    <t>26159</t>
  </si>
  <si>
    <t>Laveyron</t>
  </si>
  <si>
    <t>26160</t>
  </si>
  <si>
    <t>Laveyrune</t>
  </si>
  <si>
    <t>07136</t>
  </si>
  <si>
    <t>Lavillatte</t>
  </si>
  <si>
    <t>07137</t>
  </si>
  <si>
    <t>Lavilledieu</t>
  </si>
  <si>
    <t>07138</t>
  </si>
  <si>
    <t>Laviolle</t>
  </si>
  <si>
    <t>07139</t>
  </si>
  <si>
    <t>Le Béage</t>
  </si>
  <si>
    <t>07026</t>
  </si>
  <si>
    <t>Le Chaffal</t>
  </si>
  <si>
    <t>26066</t>
  </si>
  <si>
    <t>Le Chalon</t>
  </si>
  <si>
    <t>26068</t>
  </si>
  <si>
    <t>Le Chambon</t>
  </si>
  <si>
    <t>07049</t>
  </si>
  <si>
    <t>Le Cheylard</t>
  </si>
  <si>
    <t>07064</t>
  </si>
  <si>
    <t>Le Crestet</t>
  </si>
  <si>
    <t>07073</t>
  </si>
  <si>
    <t>Le Grand-Serre</t>
  </si>
  <si>
    <t>26143</t>
  </si>
  <si>
    <t>Le Lac-d'Issarlès</t>
  </si>
  <si>
    <t>07119</t>
  </si>
  <si>
    <t>Le Pègue</t>
  </si>
  <si>
    <t>26226</t>
  </si>
  <si>
    <t>Le Plagnal</t>
  </si>
  <si>
    <t>07175</t>
  </si>
  <si>
    <t>Le Poët-Célard</t>
  </si>
  <si>
    <t>26241</t>
  </si>
  <si>
    <t>Le Poët-en-Percip</t>
  </si>
  <si>
    <t>26242</t>
  </si>
  <si>
    <t>Le Poët-Laval</t>
  </si>
  <si>
    <t>26243</t>
  </si>
  <si>
    <t>Le Poët-Sigillat</t>
  </si>
  <si>
    <t>26244</t>
  </si>
  <si>
    <t>Le Pouzin</t>
  </si>
  <si>
    <t>07181</t>
  </si>
  <si>
    <t>Le Roux</t>
  </si>
  <si>
    <t>07200</t>
  </si>
  <si>
    <t>Le Teil</t>
  </si>
  <si>
    <t>07319</t>
  </si>
  <si>
    <t>Lemps</t>
  </si>
  <si>
    <t>26161</t>
  </si>
  <si>
    <t>07140</t>
  </si>
  <si>
    <t>Lens-Lestang</t>
  </si>
  <si>
    <t>26162</t>
  </si>
  <si>
    <t>Lentillères</t>
  </si>
  <si>
    <t>07141</t>
  </si>
  <si>
    <t>Léoncel</t>
  </si>
  <si>
    <t>26163</t>
  </si>
  <si>
    <t>Les Assions</t>
  </si>
  <si>
    <t>07017</t>
  </si>
  <si>
    <t>Les Granges-Gontardes</t>
  </si>
  <si>
    <t>26145</t>
  </si>
  <si>
    <t>Les Ollières-sur-Eyrieux</t>
  </si>
  <si>
    <t>07167</t>
  </si>
  <si>
    <t>Les Pilles</t>
  </si>
  <si>
    <t>26238</t>
  </si>
  <si>
    <t>Les Prés</t>
  </si>
  <si>
    <t>26255</t>
  </si>
  <si>
    <t>Les Salelles</t>
  </si>
  <si>
    <t>07305</t>
  </si>
  <si>
    <t>Les Tonils</t>
  </si>
  <si>
    <t>26351</t>
  </si>
  <si>
    <t>Les Tourrettes</t>
  </si>
  <si>
    <t>26353</t>
  </si>
  <si>
    <t>Les Vans</t>
  </si>
  <si>
    <t>07334</t>
  </si>
  <si>
    <t>Lesches-en-Diois</t>
  </si>
  <si>
    <t>26164</t>
  </si>
  <si>
    <t>Lespéron</t>
  </si>
  <si>
    <t>07142</t>
  </si>
  <si>
    <t>Limony</t>
  </si>
  <si>
    <t>07143</t>
  </si>
  <si>
    <t>Livron-sur-Drôme</t>
  </si>
  <si>
    <t>26165</t>
  </si>
  <si>
    <t>Loriol-sur-Drôme</t>
  </si>
  <si>
    <t>26166</t>
  </si>
  <si>
    <t>Loubaresse</t>
  </si>
  <si>
    <t>07144</t>
  </si>
  <si>
    <t>Luc-en-Diois</t>
  </si>
  <si>
    <t>26167</t>
  </si>
  <si>
    <t>Lus-la-Croix-Haute</t>
  </si>
  <si>
    <t>26168</t>
  </si>
  <si>
    <t>Lussas</t>
  </si>
  <si>
    <t>07145</t>
  </si>
  <si>
    <t>Lyas</t>
  </si>
  <si>
    <t>07146</t>
  </si>
  <si>
    <t>Malarce-sur-la-Thines</t>
  </si>
  <si>
    <t>07147</t>
  </si>
  <si>
    <t>Malataverne</t>
  </si>
  <si>
    <t>26169</t>
  </si>
  <si>
    <t>Malbosc</t>
  </si>
  <si>
    <t>07148</t>
  </si>
  <si>
    <t>Malissard</t>
  </si>
  <si>
    <t>26170</t>
  </si>
  <si>
    <t>Manas</t>
  </si>
  <si>
    <t>26171</t>
  </si>
  <si>
    <t>Manthes</t>
  </si>
  <si>
    <t>26172</t>
  </si>
  <si>
    <t>Marches</t>
  </si>
  <si>
    <t>26173</t>
  </si>
  <si>
    <t>Marcols-les-Eaux</t>
  </si>
  <si>
    <t>07149</t>
  </si>
  <si>
    <t>Margès</t>
  </si>
  <si>
    <t>26174</t>
  </si>
  <si>
    <t>Mariac</t>
  </si>
  <si>
    <t>07150</t>
  </si>
  <si>
    <t>Marignac-en-Diois</t>
  </si>
  <si>
    <t>26175</t>
  </si>
  <si>
    <t>Mars</t>
  </si>
  <si>
    <t>07151</t>
  </si>
  <si>
    <t>Marsanne</t>
  </si>
  <si>
    <t>26176</t>
  </si>
  <si>
    <t>Marsaz</t>
  </si>
  <si>
    <t>26177</t>
  </si>
  <si>
    <t>Mauves</t>
  </si>
  <si>
    <t>07152</t>
  </si>
  <si>
    <t>Mayres</t>
  </si>
  <si>
    <t>07153</t>
  </si>
  <si>
    <t>Mazan-l'Abbaye</t>
  </si>
  <si>
    <t>07154</t>
  </si>
  <si>
    <t>Menglon</t>
  </si>
  <si>
    <t>26178</t>
  </si>
  <si>
    <t>Mercuer</t>
  </si>
  <si>
    <t>07155</t>
  </si>
  <si>
    <t>Mercurol-Veaunes</t>
  </si>
  <si>
    <t>26179</t>
  </si>
  <si>
    <t>Mérindol-les-Oliviers</t>
  </si>
  <si>
    <t>26180</t>
  </si>
  <si>
    <t>Mévouillon</t>
  </si>
  <si>
    <t>26181</t>
  </si>
  <si>
    <t>Meyras</t>
  </si>
  <si>
    <t>07156</t>
  </si>
  <si>
    <t>Meysse</t>
  </si>
  <si>
    <t>07157</t>
  </si>
  <si>
    <t>Mézilhac</t>
  </si>
  <si>
    <t>07158</t>
  </si>
  <si>
    <t>Mirabel</t>
  </si>
  <si>
    <t>07159</t>
  </si>
  <si>
    <t>Mirabel-aux-Baronnies</t>
  </si>
  <si>
    <t>26182</t>
  </si>
  <si>
    <t>Mirabel-et-Blacons</t>
  </si>
  <si>
    <t>26183</t>
  </si>
  <si>
    <t>Mirmande</t>
  </si>
  <si>
    <t>26185</t>
  </si>
  <si>
    <t>Miscon</t>
  </si>
  <si>
    <t>26186</t>
  </si>
  <si>
    <t>Mollans-sur-Ouvèze</t>
  </si>
  <si>
    <t>26188</t>
  </si>
  <si>
    <t>Monestier</t>
  </si>
  <si>
    <t>07160</t>
  </si>
  <si>
    <t>Montauban-sur-l'Ouvèze</t>
  </si>
  <si>
    <t>26189</t>
  </si>
  <si>
    <t>Montaulieu</t>
  </si>
  <si>
    <t>26190</t>
  </si>
  <si>
    <t>Montboucher-sur-Jabron</t>
  </si>
  <si>
    <t>26191</t>
  </si>
  <si>
    <t>Montbrison-sur-Lez</t>
  </si>
  <si>
    <t>26192</t>
  </si>
  <si>
    <t>Montbrun-les-Bains</t>
  </si>
  <si>
    <t>26193</t>
  </si>
  <si>
    <t>Montchenu</t>
  </si>
  <si>
    <t>26194</t>
  </si>
  <si>
    <t>Montclar-sur-Gervanne</t>
  </si>
  <si>
    <t>26195</t>
  </si>
  <si>
    <t>Montéléger</t>
  </si>
  <si>
    <t>26196</t>
  </si>
  <si>
    <t>Montélier</t>
  </si>
  <si>
    <t>26197</t>
  </si>
  <si>
    <t>Montélimar</t>
  </si>
  <si>
    <t>26198</t>
  </si>
  <si>
    <t>Montferrand-la-Fare</t>
  </si>
  <si>
    <t>26199</t>
  </si>
  <si>
    <t>Montfroc</t>
  </si>
  <si>
    <t>26200</t>
  </si>
  <si>
    <t>Montguers</t>
  </si>
  <si>
    <t>26201</t>
  </si>
  <si>
    <t>Montjoux</t>
  </si>
  <si>
    <t>26202</t>
  </si>
  <si>
    <t>Montjoyer</t>
  </si>
  <si>
    <t>26203</t>
  </si>
  <si>
    <t>Montlaur-en-Diois</t>
  </si>
  <si>
    <t>26204</t>
  </si>
  <si>
    <t>Montmaur-en-Diois</t>
  </si>
  <si>
    <t>26205</t>
  </si>
  <si>
    <t>Montmeyran</t>
  </si>
  <si>
    <t>26206</t>
  </si>
  <si>
    <t>Montmiral</t>
  </si>
  <si>
    <t>26207</t>
  </si>
  <si>
    <t>Montoison</t>
  </si>
  <si>
    <t>26208</t>
  </si>
  <si>
    <t>Montpezat-sous-Bauzon</t>
  </si>
  <si>
    <t>07161</t>
  </si>
  <si>
    <t>Montréal</t>
  </si>
  <si>
    <t>07162</t>
  </si>
  <si>
    <t>Montréal-les-Sources</t>
  </si>
  <si>
    <t>26209</t>
  </si>
  <si>
    <t>Montségur-sur-Lauzon</t>
  </si>
  <si>
    <t>26211</t>
  </si>
  <si>
    <t>Montselgues</t>
  </si>
  <si>
    <t>07163</t>
  </si>
  <si>
    <t>Montvendre</t>
  </si>
  <si>
    <t>26212</t>
  </si>
  <si>
    <t>Moras-en-Valloire</t>
  </si>
  <si>
    <t>26213</t>
  </si>
  <si>
    <t>Mornans</t>
  </si>
  <si>
    <t>26214</t>
  </si>
  <si>
    <t>Mours-Saint-Eusèbe</t>
  </si>
  <si>
    <t>26218</t>
  </si>
  <si>
    <t>Mureils</t>
  </si>
  <si>
    <t>26219</t>
  </si>
  <si>
    <t>Nozières</t>
  </si>
  <si>
    <t>07166</t>
  </si>
  <si>
    <t>Nyons</t>
  </si>
  <si>
    <t>26220</t>
  </si>
  <si>
    <t>Omblèze</t>
  </si>
  <si>
    <t>26221</t>
  </si>
  <si>
    <t>Orcinas</t>
  </si>
  <si>
    <t>26222</t>
  </si>
  <si>
    <t>Orgnac-l'Aven</t>
  </si>
  <si>
    <t>07168</t>
  </si>
  <si>
    <t>Oriol-en-Royans</t>
  </si>
  <si>
    <t>26223</t>
  </si>
  <si>
    <t>Ourches</t>
  </si>
  <si>
    <t>26224</t>
  </si>
  <si>
    <t>Ozon</t>
  </si>
  <si>
    <t>07169</t>
  </si>
  <si>
    <t>Pailharès</t>
  </si>
  <si>
    <t>07170</t>
  </si>
  <si>
    <t>Parnans</t>
  </si>
  <si>
    <t>26225</t>
  </si>
  <si>
    <t>Payzac</t>
  </si>
  <si>
    <t>07171</t>
  </si>
  <si>
    <t>Peaugres</t>
  </si>
  <si>
    <t>07172</t>
  </si>
  <si>
    <t>Pelonne</t>
  </si>
  <si>
    <t>26227</t>
  </si>
  <si>
    <t>Pennes-le-Sec</t>
  </si>
  <si>
    <t>26228</t>
  </si>
  <si>
    <t>Péreyres</t>
  </si>
  <si>
    <t>07173</t>
  </si>
  <si>
    <t>Peyraud</t>
  </si>
  <si>
    <t>07174</t>
  </si>
  <si>
    <t>Peyrins</t>
  </si>
  <si>
    <t>26231</t>
  </si>
  <si>
    <t>Peyrus</t>
  </si>
  <si>
    <t>26232</t>
  </si>
  <si>
    <t>Piégon</t>
  </si>
  <si>
    <t>26233</t>
  </si>
  <si>
    <t>Piégros-la-Clastre</t>
  </si>
  <si>
    <t>26234</t>
  </si>
  <si>
    <t>Pierrelatte</t>
  </si>
  <si>
    <t>26235</t>
  </si>
  <si>
    <t>Pierrelongue</t>
  </si>
  <si>
    <t>26236</t>
  </si>
  <si>
    <t>Plaisians</t>
  </si>
  <si>
    <t>26239</t>
  </si>
  <si>
    <t>Plan-de-Baix</t>
  </si>
  <si>
    <t>26240</t>
  </si>
  <si>
    <t>Planzolles</t>
  </si>
  <si>
    <t>07176</t>
  </si>
  <si>
    <t>Plats</t>
  </si>
  <si>
    <t>07177</t>
  </si>
  <si>
    <t>Pommerol</t>
  </si>
  <si>
    <t>26245</t>
  </si>
  <si>
    <t>Ponet-et-Saint-Auban</t>
  </si>
  <si>
    <t>26246</t>
  </si>
  <si>
    <t>Ponsas</t>
  </si>
  <si>
    <t>26247</t>
  </si>
  <si>
    <t>Pont-de-Barret</t>
  </si>
  <si>
    <t>26249</t>
  </si>
  <si>
    <t>Pont-de-l'Isère</t>
  </si>
  <si>
    <t>26250</t>
  </si>
  <si>
    <t>Pont-de-Labeaume</t>
  </si>
  <si>
    <t>07178</t>
  </si>
  <si>
    <t>Pontaix</t>
  </si>
  <si>
    <t>26248</t>
  </si>
  <si>
    <t>Portes-en-Valdaine</t>
  </si>
  <si>
    <t>26251</t>
  </si>
  <si>
    <t>Portes-lès-Valence</t>
  </si>
  <si>
    <t>26252</t>
  </si>
  <si>
    <t>Pourchères</t>
  </si>
  <si>
    <t>07179</t>
  </si>
  <si>
    <t>Poyols</t>
  </si>
  <si>
    <t>26253</t>
  </si>
  <si>
    <t>Pradelle</t>
  </si>
  <si>
    <t>26254</t>
  </si>
  <si>
    <t>Prades</t>
  </si>
  <si>
    <t>07182</t>
  </si>
  <si>
    <t>Pradons</t>
  </si>
  <si>
    <t>07183</t>
  </si>
  <si>
    <t>Pranles</t>
  </si>
  <si>
    <t>07184</t>
  </si>
  <si>
    <t>Préaux</t>
  </si>
  <si>
    <t>07185</t>
  </si>
  <si>
    <t>Privas</t>
  </si>
  <si>
    <t>07186</t>
  </si>
  <si>
    <t>Propiac</t>
  </si>
  <si>
    <t>26256</t>
  </si>
  <si>
    <t>Prunet</t>
  </si>
  <si>
    <t>07187</t>
  </si>
  <si>
    <t>Puy-Saint-Martin</t>
  </si>
  <si>
    <t>26258</t>
  </si>
  <si>
    <t>Puygiron</t>
  </si>
  <si>
    <t>26257</t>
  </si>
  <si>
    <t>Quintenas</t>
  </si>
  <si>
    <t>07188</t>
  </si>
  <si>
    <t>Ratières</t>
  </si>
  <si>
    <t>26259</t>
  </si>
  <si>
    <t>Réauville</t>
  </si>
  <si>
    <t>26261</t>
  </si>
  <si>
    <t>Recoubeau-Jansac</t>
  </si>
  <si>
    <t>26262</t>
  </si>
  <si>
    <t>Reilhanette</t>
  </si>
  <si>
    <t>26263</t>
  </si>
  <si>
    <t>Rémuzat</t>
  </si>
  <si>
    <t>26264</t>
  </si>
  <si>
    <t>Ribes</t>
  </si>
  <si>
    <t>07189</t>
  </si>
  <si>
    <t>Rimon-et-Savel</t>
  </si>
  <si>
    <t>26266</t>
  </si>
  <si>
    <t>Rioms</t>
  </si>
  <si>
    <t>26267</t>
  </si>
  <si>
    <t>Roche-Saint-Secret-Béconne</t>
  </si>
  <si>
    <t>26276</t>
  </si>
  <si>
    <t>Rochebaudin</t>
  </si>
  <si>
    <t>26268</t>
  </si>
  <si>
    <t>Rochebrune</t>
  </si>
  <si>
    <t>26269</t>
  </si>
  <si>
    <t>Rochechinard</t>
  </si>
  <si>
    <t>26270</t>
  </si>
  <si>
    <t>Rochecolombe</t>
  </si>
  <si>
    <t>07190</t>
  </si>
  <si>
    <t>Rochefort-en-Valdaine</t>
  </si>
  <si>
    <t>26272</t>
  </si>
  <si>
    <t>Rochefort-Samson</t>
  </si>
  <si>
    <t>26273</t>
  </si>
  <si>
    <t>Rochefourchat</t>
  </si>
  <si>
    <t>26274</t>
  </si>
  <si>
    <t>Rochegude</t>
  </si>
  <si>
    <t>26275</t>
  </si>
  <si>
    <t>Rochemaure</t>
  </si>
  <si>
    <t>07191</t>
  </si>
  <si>
    <t>Rochepaule</t>
  </si>
  <si>
    <t>07192</t>
  </si>
  <si>
    <t>Rocher</t>
  </si>
  <si>
    <t>07193</t>
  </si>
  <si>
    <t>Rochessauve</t>
  </si>
  <si>
    <t>07194</t>
  </si>
  <si>
    <t>Rocles</t>
  </si>
  <si>
    <t>07196</t>
  </si>
  <si>
    <t>Roiffieux</t>
  </si>
  <si>
    <t>07197</t>
  </si>
  <si>
    <t>Romans-sur-Isère</t>
  </si>
  <si>
    <t>26281</t>
  </si>
  <si>
    <t>Romeyer</t>
  </si>
  <si>
    <t>26282</t>
  </si>
  <si>
    <t>Rompon</t>
  </si>
  <si>
    <t>07198</t>
  </si>
  <si>
    <t>Rosières</t>
  </si>
  <si>
    <t>07199</t>
  </si>
  <si>
    <t>Rottier</t>
  </si>
  <si>
    <t>26283</t>
  </si>
  <si>
    <t>Roussas</t>
  </si>
  <si>
    <t>26284</t>
  </si>
  <si>
    <t>Rousset-les-Vignes</t>
  </si>
  <si>
    <t>26285</t>
  </si>
  <si>
    <t>Roussieux</t>
  </si>
  <si>
    <t>26286</t>
  </si>
  <si>
    <t>Roynac</t>
  </si>
  <si>
    <t>26287</t>
  </si>
  <si>
    <t>Ruoms</t>
  </si>
  <si>
    <t>07201</t>
  </si>
  <si>
    <t>Sablières</t>
  </si>
  <si>
    <t>07202</t>
  </si>
  <si>
    <t>Sagnes-et-Goudoulet</t>
  </si>
  <si>
    <t>07203</t>
  </si>
  <si>
    <t>Sahune</t>
  </si>
  <si>
    <t>26288</t>
  </si>
  <si>
    <t>Saillans</t>
  </si>
  <si>
    <t>26289</t>
  </si>
  <si>
    <t>Saint-Agnan-en-Vercors</t>
  </si>
  <si>
    <t>26290</t>
  </si>
  <si>
    <t>Saint-Agrève</t>
  </si>
  <si>
    <t>07204</t>
  </si>
  <si>
    <t>Saint-Alban-Auriolles</t>
  </si>
  <si>
    <t>07207</t>
  </si>
  <si>
    <t>Saint-Alban-d'Ay</t>
  </si>
  <si>
    <t>07205</t>
  </si>
  <si>
    <t>Saint-Alban-en-Montagne</t>
  </si>
  <si>
    <t>07206</t>
  </si>
  <si>
    <t>Saint-Andéol</t>
  </si>
  <si>
    <t>26291</t>
  </si>
  <si>
    <t>Saint-Andéol-de-Berg</t>
  </si>
  <si>
    <t>07208</t>
  </si>
  <si>
    <t>Saint-Andéol-de-Fourchades</t>
  </si>
  <si>
    <t>07209</t>
  </si>
  <si>
    <t>Saint-Andéol-de-Vals</t>
  </si>
  <si>
    <t>07210</t>
  </si>
  <si>
    <t>Saint-André-de-Cruzières</t>
  </si>
  <si>
    <t>07211</t>
  </si>
  <si>
    <t>Saint-André-en-Vivarais</t>
  </si>
  <si>
    <t>07212</t>
  </si>
  <si>
    <t>Saint-André-Lachamp</t>
  </si>
  <si>
    <t>07213</t>
  </si>
  <si>
    <t>Saint-Apollinaire-de-Rias</t>
  </si>
  <si>
    <t>07214</t>
  </si>
  <si>
    <t>Saint-Auban-sur-l'Ouvèze</t>
  </si>
  <si>
    <t>26292</t>
  </si>
  <si>
    <t>Saint-Avit</t>
  </si>
  <si>
    <t>26293</t>
  </si>
  <si>
    <t>Saint-Bardoux</t>
  </si>
  <si>
    <t>26294</t>
  </si>
  <si>
    <t>Saint-Barthélemy-de-Vals</t>
  </si>
  <si>
    <t>26295</t>
  </si>
  <si>
    <t>Saint-Barthélemy-Grozon</t>
  </si>
  <si>
    <t>07216</t>
  </si>
  <si>
    <t>Saint-Barthélemy-le-Meil</t>
  </si>
  <si>
    <t>07215</t>
  </si>
  <si>
    <t>Saint-Barthélemy-le-Plain</t>
  </si>
  <si>
    <t>07217</t>
  </si>
  <si>
    <t>Saint-Basile</t>
  </si>
  <si>
    <t>07218</t>
  </si>
  <si>
    <t>Saint-Bauzile</t>
  </si>
  <si>
    <t>07219</t>
  </si>
  <si>
    <t>Saint-Benoit-en-Diois</t>
  </si>
  <si>
    <t>26296</t>
  </si>
  <si>
    <t>Saint-Christol</t>
  </si>
  <si>
    <t>07220</t>
  </si>
  <si>
    <t>Saint-Christophe-et-le-Laris</t>
  </si>
  <si>
    <t>26298</t>
  </si>
  <si>
    <t>Saint-Cierge-la-Serre</t>
  </si>
  <si>
    <t>07221</t>
  </si>
  <si>
    <t>Saint-Cierge-sous-le-Cheylard</t>
  </si>
  <si>
    <t>07222</t>
  </si>
  <si>
    <t>Saint-Cirgues-de-Prades</t>
  </si>
  <si>
    <t>07223</t>
  </si>
  <si>
    <t>Saint-Cirgues-en-Montagne</t>
  </si>
  <si>
    <t>07224</t>
  </si>
  <si>
    <t>Saint-Clair</t>
  </si>
  <si>
    <t>07225</t>
  </si>
  <si>
    <t>Saint-Clément</t>
  </si>
  <si>
    <t>07226</t>
  </si>
  <si>
    <t>Saint-Cyr</t>
  </si>
  <si>
    <t>07227</t>
  </si>
  <si>
    <t>Saint-Désirat</t>
  </si>
  <si>
    <t>07228</t>
  </si>
  <si>
    <t>Saint-Didier-sous-Aubenas</t>
  </si>
  <si>
    <t>07229</t>
  </si>
  <si>
    <t>Saint-Dizier-en-Diois</t>
  </si>
  <si>
    <t>26300</t>
  </si>
  <si>
    <t>Saint-Donat-sur-l'Herbasse</t>
  </si>
  <si>
    <t>26301</t>
  </si>
  <si>
    <t>Saint-Étienne-de-Boulogne</t>
  </si>
  <si>
    <t>07230</t>
  </si>
  <si>
    <t>Saint-Étienne-de-Fontbellon</t>
  </si>
  <si>
    <t>07231</t>
  </si>
  <si>
    <t>Saint-Étienne-de-Lugdarès</t>
  </si>
  <si>
    <t>07232</t>
  </si>
  <si>
    <t>Saint-Étienne-de-Serre</t>
  </si>
  <si>
    <t>07233</t>
  </si>
  <si>
    <t>Saint-Étienne-de-Valoux</t>
  </si>
  <si>
    <t>07234</t>
  </si>
  <si>
    <t>Saint-Félicien</t>
  </si>
  <si>
    <t>07236</t>
  </si>
  <si>
    <t>Saint-Ferréol-Trente-Pas</t>
  </si>
  <si>
    <t>26304</t>
  </si>
  <si>
    <t>Saint-Fortunat-sur-Eyrieux</t>
  </si>
  <si>
    <t>07237</t>
  </si>
  <si>
    <t>Saint-Genest-de-Beauzon</t>
  </si>
  <si>
    <t>07238</t>
  </si>
  <si>
    <t>Saint-Genest-Lachamp</t>
  </si>
  <si>
    <t>07239</t>
  </si>
  <si>
    <t>Saint-Georges-les-Bains</t>
  </si>
  <si>
    <t>07240</t>
  </si>
  <si>
    <t>Saint-Germain</t>
  </si>
  <si>
    <t>07241</t>
  </si>
  <si>
    <t>Saint-Gervais-sur-Roubion</t>
  </si>
  <si>
    <t>26305</t>
  </si>
  <si>
    <t>Saint-Gineys-en-Coiron</t>
  </si>
  <si>
    <t>07242</t>
  </si>
  <si>
    <t>Saint-Jacques-d'Atticieux</t>
  </si>
  <si>
    <t>07243</t>
  </si>
  <si>
    <t>Saint-Jean-Chambre</t>
  </si>
  <si>
    <t>07244</t>
  </si>
  <si>
    <t>Saint-Jean-de-Muzols</t>
  </si>
  <si>
    <t>07245</t>
  </si>
  <si>
    <t>Saint-Jean-en-Royans</t>
  </si>
  <si>
    <t>26307</t>
  </si>
  <si>
    <t>Saint-Jean-le-Centenier</t>
  </si>
  <si>
    <t>07247</t>
  </si>
  <si>
    <t>Saint-Jean-Roure</t>
  </si>
  <si>
    <t>07248</t>
  </si>
  <si>
    <t>Saint-Jeure-d'Andaure</t>
  </si>
  <si>
    <t>07249</t>
  </si>
  <si>
    <t>Saint-Jeure-d'Ay</t>
  </si>
  <si>
    <t>07250</t>
  </si>
  <si>
    <t>Saint-Joseph-des-Bancs</t>
  </si>
  <si>
    <t>07251</t>
  </si>
  <si>
    <t>Saint-Julien-d'Intres</t>
  </si>
  <si>
    <t>07103</t>
  </si>
  <si>
    <t>Saint-Julien-du-Gua</t>
  </si>
  <si>
    <t>07253</t>
  </si>
  <si>
    <t>Saint-Julien-du-Serre</t>
  </si>
  <si>
    <t>07254</t>
  </si>
  <si>
    <t>Saint-Julien-en-Quint</t>
  </si>
  <si>
    <t>26308</t>
  </si>
  <si>
    <t>Saint-Julien-en-Saint-Alban</t>
  </si>
  <si>
    <t>07255</t>
  </si>
  <si>
    <t>Saint-Julien-en-Vercors</t>
  </si>
  <si>
    <t>26309</t>
  </si>
  <si>
    <t>Saint-Julien-le-Roux</t>
  </si>
  <si>
    <t>07257</t>
  </si>
  <si>
    <t>Saint-Julien-Vocance</t>
  </si>
  <si>
    <t>07258</t>
  </si>
  <si>
    <t>Saint-Just-d'Ardèche</t>
  </si>
  <si>
    <t>07259</t>
  </si>
  <si>
    <t>Saint-Lager-Bressac</t>
  </si>
  <si>
    <t>07260</t>
  </si>
  <si>
    <t>Saint-Laurent-d'Onay</t>
  </si>
  <si>
    <t>26310</t>
  </si>
  <si>
    <t>Saint-Laurent-du-Pape</t>
  </si>
  <si>
    <t>07261</t>
  </si>
  <si>
    <t>Saint-Laurent-en-Royans</t>
  </si>
  <si>
    <t>26311</t>
  </si>
  <si>
    <t>Saint-Laurent-les-Bains-Laval-d'Aurelle</t>
  </si>
  <si>
    <t>07262</t>
  </si>
  <si>
    <t>Saint-Laurent-sous-Coiron</t>
  </si>
  <si>
    <t>07263</t>
  </si>
  <si>
    <t>Saint-Marcel-d'Ardèche</t>
  </si>
  <si>
    <t>07264</t>
  </si>
  <si>
    <t>Saint-Marcel-lès-Annonay</t>
  </si>
  <si>
    <t>07265</t>
  </si>
  <si>
    <t>Saint-Marcel-lès-Sauzet</t>
  </si>
  <si>
    <t>26312</t>
  </si>
  <si>
    <t>Saint-Marcel-lès-Valence</t>
  </si>
  <si>
    <t>26313</t>
  </si>
  <si>
    <t>Saint-Martial</t>
  </si>
  <si>
    <t>07267</t>
  </si>
  <si>
    <t>Saint-Martin-d'Août</t>
  </si>
  <si>
    <t>26314</t>
  </si>
  <si>
    <t>Saint-Martin-d'Ardèche</t>
  </si>
  <si>
    <t>07268</t>
  </si>
  <si>
    <t>Saint-Martin-de-Valamas</t>
  </si>
  <si>
    <t>07269</t>
  </si>
  <si>
    <t>Saint-Martin-en-Vercors</t>
  </si>
  <si>
    <t>26315</t>
  </si>
  <si>
    <t>Saint-Martin-le-Colonel</t>
  </si>
  <si>
    <t>26316</t>
  </si>
  <si>
    <t>Saint-Martin-sur-Lavezon</t>
  </si>
  <si>
    <t>07270</t>
  </si>
  <si>
    <t>Saint-Maurice-d'Ardèche</t>
  </si>
  <si>
    <t>07272</t>
  </si>
  <si>
    <t>Saint-Maurice-d'Ibie</t>
  </si>
  <si>
    <t>07273</t>
  </si>
  <si>
    <t>Saint-Maurice-en-Chalencon</t>
  </si>
  <si>
    <t>07274</t>
  </si>
  <si>
    <t>Saint-Maurice-sur-Eygues</t>
  </si>
  <si>
    <t>26317</t>
  </si>
  <si>
    <t>Saint-May</t>
  </si>
  <si>
    <t>26318</t>
  </si>
  <si>
    <t>Saint-Mélany</t>
  </si>
  <si>
    <t>07275</t>
  </si>
  <si>
    <t>Saint-Michel-d'Aurance</t>
  </si>
  <si>
    <t>07276</t>
  </si>
  <si>
    <t>Saint-Michel-de-Boulogne</t>
  </si>
  <si>
    <t>07277</t>
  </si>
  <si>
    <t>Saint-Michel-de-Chabrillanoux</t>
  </si>
  <si>
    <t>07278</t>
  </si>
  <si>
    <t>Saint-Michel-sur-Savasse</t>
  </si>
  <si>
    <t>26319</t>
  </si>
  <si>
    <t>Saint-Montan</t>
  </si>
  <si>
    <t>07279</t>
  </si>
  <si>
    <t>Saint-Nazaire-en-Royans</t>
  </si>
  <si>
    <t>26320</t>
  </si>
  <si>
    <t>Saint-Nazaire-le-Désert</t>
  </si>
  <si>
    <t>26321</t>
  </si>
  <si>
    <t>Saint-Pantaléon-les-Vignes</t>
  </si>
  <si>
    <t>26322</t>
  </si>
  <si>
    <t>Saint-Paul-le-Jeune</t>
  </si>
  <si>
    <t>07280</t>
  </si>
  <si>
    <t>Saint-Paul-lès-Romans</t>
  </si>
  <si>
    <t>26323</t>
  </si>
  <si>
    <t>Saint-Paul-Trois-Châteaux</t>
  </si>
  <si>
    <t>26324</t>
  </si>
  <si>
    <t>Saint-Péray</t>
  </si>
  <si>
    <t>07281</t>
  </si>
  <si>
    <t>Saint-Pierre-de-Colombier</t>
  </si>
  <si>
    <t>07282</t>
  </si>
  <si>
    <t>Saint-Pierre-la-Roche</t>
  </si>
  <si>
    <t>07283</t>
  </si>
  <si>
    <t>Saint-Pierre-Saint-Jean</t>
  </si>
  <si>
    <t>07284</t>
  </si>
  <si>
    <t>Saint-Pierre-sur-Doux</t>
  </si>
  <si>
    <t>07285</t>
  </si>
  <si>
    <t>Saint-Pierreville</t>
  </si>
  <si>
    <t>07286</t>
  </si>
  <si>
    <t>Saint-Pons</t>
  </si>
  <si>
    <t>07287</t>
  </si>
  <si>
    <t>Saint-Priest</t>
  </si>
  <si>
    <t>07288</t>
  </si>
  <si>
    <t>Saint-Privat</t>
  </si>
  <si>
    <t>07289</t>
  </si>
  <si>
    <t>Saint-Prix</t>
  </si>
  <si>
    <t>07290</t>
  </si>
  <si>
    <t>Saint-Rambert-d'Albon</t>
  </si>
  <si>
    <t>26325</t>
  </si>
  <si>
    <t>Saint-Remèze</t>
  </si>
  <si>
    <t>07291</t>
  </si>
  <si>
    <t>Saint-Restitut</t>
  </si>
  <si>
    <t>26326</t>
  </si>
  <si>
    <t>Saint-Romain-d'Ay</t>
  </si>
  <si>
    <t>07292</t>
  </si>
  <si>
    <t>Saint-Romain-de-Lerps</t>
  </si>
  <si>
    <t>07293</t>
  </si>
  <si>
    <t>Saint-Roman</t>
  </si>
  <si>
    <t>26327</t>
  </si>
  <si>
    <t>Saint-Sauveur-de-Cruzières</t>
  </si>
  <si>
    <t>07294</t>
  </si>
  <si>
    <t>Saint-Sauveur-de-Montagut</t>
  </si>
  <si>
    <t>07295</t>
  </si>
  <si>
    <t>Saint-Sauveur-en-Diois</t>
  </si>
  <si>
    <t>26328</t>
  </si>
  <si>
    <t>Saint-Sauveur-Gouvernet</t>
  </si>
  <si>
    <t>26329</t>
  </si>
  <si>
    <t>Saint-Sernin</t>
  </si>
  <si>
    <t>07296</t>
  </si>
  <si>
    <t>Saint-Sorlin-en-Valloire</t>
  </si>
  <si>
    <t>26330</t>
  </si>
  <si>
    <t>Saint-Sylvestre</t>
  </si>
  <si>
    <t>07297</t>
  </si>
  <si>
    <t>Saint-Symphorien-de-Mahun</t>
  </si>
  <si>
    <t>07299</t>
  </si>
  <si>
    <t>Saint-Symphorien-sous-Chomérac</t>
  </si>
  <si>
    <t>07298</t>
  </si>
  <si>
    <t>Saint-Thomas-en-Royans</t>
  </si>
  <si>
    <t>26331</t>
  </si>
  <si>
    <t>Saint-Thomé</t>
  </si>
  <si>
    <t>07300</t>
  </si>
  <si>
    <t>Saint-Uze</t>
  </si>
  <si>
    <t>26332</t>
  </si>
  <si>
    <t>Saint-Vallier</t>
  </si>
  <si>
    <t>26333</t>
  </si>
  <si>
    <t>Saint-Victor</t>
  </si>
  <si>
    <t>07301</t>
  </si>
  <si>
    <t>Saint-Vincent-de-Barrès</t>
  </si>
  <si>
    <t>07302</t>
  </si>
  <si>
    <t>Saint-Vincent-de-Durfort</t>
  </si>
  <si>
    <t>07303</t>
  </si>
  <si>
    <t>Saint-Vincent-la-Commanderie</t>
  </si>
  <si>
    <t>26382</t>
  </si>
  <si>
    <t>Sainte-Croix</t>
  </si>
  <si>
    <t>26299</t>
  </si>
  <si>
    <t>Sainte-Eulalie</t>
  </si>
  <si>
    <t>07235</t>
  </si>
  <si>
    <t>Sainte-Eulalie-en-Royans</t>
  </si>
  <si>
    <t>26302</t>
  </si>
  <si>
    <t>Sainte-Euphémie-sur-Ouvèze</t>
  </si>
  <si>
    <t>26303</t>
  </si>
  <si>
    <t>Sainte-Jalle</t>
  </si>
  <si>
    <t>26306</t>
  </si>
  <si>
    <t>Sainte-Marguerite-Lafigère</t>
  </si>
  <si>
    <t>07266</t>
  </si>
  <si>
    <t>Salavas</t>
  </si>
  <si>
    <t>07304</t>
  </si>
  <si>
    <t>Salettes</t>
  </si>
  <si>
    <t>26334</t>
  </si>
  <si>
    <t>Salles-sous-Bois</t>
  </si>
  <si>
    <t>26335</t>
  </si>
  <si>
    <t>Sampzon</t>
  </si>
  <si>
    <t>07306</t>
  </si>
  <si>
    <t>Sanilhac</t>
  </si>
  <si>
    <t>07307</t>
  </si>
  <si>
    <t>Saou</t>
  </si>
  <si>
    <t>26336</t>
  </si>
  <si>
    <t>Sarras</t>
  </si>
  <si>
    <t>07308</t>
  </si>
  <si>
    <t>Satillieu</t>
  </si>
  <si>
    <t>07309</t>
  </si>
  <si>
    <t>Saulce-sur-Rhône</t>
  </si>
  <si>
    <t>26337</t>
  </si>
  <si>
    <t>Sauzet</t>
  </si>
  <si>
    <t>26338</t>
  </si>
  <si>
    <t>Savas</t>
  </si>
  <si>
    <t>07310</t>
  </si>
  <si>
    <t>Savasse</t>
  </si>
  <si>
    <t>26339</t>
  </si>
  <si>
    <t>Sceautres</t>
  </si>
  <si>
    <t>07311</t>
  </si>
  <si>
    <t>Sécheras</t>
  </si>
  <si>
    <t>07312</t>
  </si>
  <si>
    <t>Séderon</t>
  </si>
  <si>
    <t>26340</t>
  </si>
  <si>
    <t>Serrières</t>
  </si>
  <si>
    <t>07313</t>
  </si>
  <si>
    <t>Serves-sur-Rhône</t>
  </si>
  <si>
    <t>26341</t>
  </si>
  <si>
    <t>Silhac</t>
  </si>
  <si>
    <t>07314</t>
  </si>
  <si>
    <t>Solaure en Diois</t>
  </si>
  <si>
    <t>26001</t>
  </si>
  <si>
    <t>Solérieux</t>
  </si>
  <si>
    <t>26342</t>
  </si>
  <si>
    <t>Souspierre</t>
  </si>
  <si>
    <t>26343</t>
  </si>
  <si>
    <t>Soyans</t>
  </si>
  <si>
    <t>26344</t>
  </si>
  <si>
    <t>Soyons</t>
  </si>
  <si>
    <t>07316</t>
  </si>
  <si>
    <t>Suze</t>
  </si>
  <si>
    <t>26346</t>
  </si>
  <si>
    <t>Suze-la-Rousse</t>
  </si>
  <si>
    <t>26345</t>
  </si>
  <si>
    <t>Tain-l'Hermitage</t>
  </si>
  <si>
    <t>26347</t>
  </si>
  <si>
    <t>Talencieux</t>
  </si>
  <si>
    <t>07317</t>
  </si>
  <si>
    <t>Taulignan</t>
  </si>
  <si>
    <t>26348</t>
  </si>
  <si>
    <t>Tauriers</t>
  </si>
  <si>
    <t>07318</t>
  </si>
  <si>
    <t>Tersanne</t>
  </si>
  <si>
    <t>26349</t>
  </si>
  <si>
    <t>Teyssières</t>
  </si>
  <si>
    <t>26350</t>
  </si>
  <si>
    <t>Thorrenc</t>
  </si>
  <si>
    <t>07321</t>
  </si>
  <si>
    <t>Thueyts</t>
  </si>
  <si>
    <t>07322</t>
  </si>
  <si>
    <t>Toulaud</t>
  </si>
  <si>
    <t>07323</t>
  </si>
  <si>
    <t>Tournon-sur-Rhône</t>
  </si>
  <si>
    <t>07324</t>
  </si>
  <si>
    <t>Triors</t>
  </si>
  <si>
    <t>26355</t>
  </si>
  <si>
    <t>Truinas</t>
  </si>
  <si>
    <t>26356</t>
  </si>
  <si>
    <t>Tulette</t>
  </si>
  <si>
    <t>26357</t>
  </si>
  <si>
    <t>Ucel</t>
  </si>
  <si>
    <t>07325</t>
  </si>
  <si>
    <t>Upie</t>
  </si>
  <si>
    <t>26358</t>
  </si>
  <si>
    <t>Usclades-et-Rieutord</t>
  </si>
  <si>
    <t>07326</t>
  </si>
  <si>
    <t>Uzer</t>
  </si>
  <si>
    <t>07327</t>
  </si>
  <si>
    <t>Vachères-en-Quint</t>
  </si>
  <si>
    <t>26359</t>
  </si>
  <si>
    <t>Vagnas</t>
  </si>
  <si>
    <t>07328</t>
  </si>
  <si>
    <t>Val-Maravel</t>
  </si>
  <si>
    <t>26136</t>
  </si>
  <si>
    <t>Valaurie</t>
  </si>
  <si>
    <t>26360</t>
  </si>
  <si>
    <t>Valdrôme</t>
  </si>
  <si>
    <t>26361</t>
  </si>
  <si>
    <t>Valence</t>
  </si>
  <si>
    <t>26362</t>
  </si>
  <si>
    <t>Valgorge</t>
  </si>
  <si>
    <t>07329</t>
  </si>
  <si>
    <t>Valherbasse</t>
  </si>
  <si>
    <t>26210</t>
  </si>
  <si>
    <t>Vallées-d'Antraigues-Asperjoc</t>
  </si>
  <si>
    <t>07011</t>
  </si>
  <si>
    <t>Vallon-Pont-d'Arc</t>
  </si>
  <si>
    <t>07330</t>
  </si>
  <si>
    <t>Valouse</t>
  </si>
  <si>
    <t>26363</t>
  </si>
  <si>
    <t>Vals-les-Bains</t>
  </si>
  <si>
    <t>07331</t>
  </si>
  <si>
    <t>Valvignères</t>
  </si>
  <si>
    <t>07332</t>
  </si>
  <si>
    <t>Vanosc</t>
  </si>
  <si>
    <t>07333</t>
  </si>
  <si>
    <t>Vassieux-en-Vercors</t>
  </si>
  <si>
    <t>26364</t>
  </si>
  <si>
    <t>Vaudevant</t>
  </si>
  <si>
    <t>07335</t>
  </si>
  <si>
    <t>Vaunaveys-la-Rochette</t>
  </si>
  <si>
    <t>26365</t>
  </si>
  <si>
    <t>Venterol</t>
  </si>
  <si>
    <t>26367</t>
  </si>
  <si>
    <t>Vercheny</t>
  </si>
  <si>
    <t>26368</t>
  </si>
  <si>
    <t>Verclause</t>
  </si>
  <si>
    <t>26369</t>
  </si>
  <si>
    <t>Vercoiran</t>
  </si>
  <si>
    <t>26370</t>
  </si>
  <si>
    <t>Vernon</t>
  </si>
  <si>
    <t>07336</t>
  </si>
  <si>
    <t>Vernosc-lès-Annonay</t>
  </si>
  <si>
    <t>07337</t>
  </si>
  <si>
    <t>Vernoux-en-Vivarais</t>
  </si>
  <si>
    <t>07338</t>
  </si>
  <si>
    <t>Véronne</t>
  </si>
  <si>
    <t>26371</t>
  </si>
  <si>
    <t>Vers-sur-Méouge</t>
  </si>
  <si>
    <t>26372</t>
  </si>
  <si>
    <t>Vesc</t>
  </si>
  <si>
    <t>26373</t>
  </si>
  <si>
    <t>Vesseaux</t>
  </si>
  <si>
    <t>07339</t>
  </si>
  <si>
    <t>Veyras</t>
  </si>
  <si>
    <t>07340</t>
  </si>
  <si>
    <t>Villebois-les-Pins</t>
  </si>
  <si>
    <t>26374</t>
  </si>
  <si>
    <t>Villefranche-le-Château</t>
  </si>
  <si>
    <t>26375</t>
  </si>
  <si>
    <t>Villeneuve-de-Berg</t>
  </si>
  <si>
    <t>07341</t>
  </si>
  <si>
    <t>Villeperdrix</t>
  </si>
  <si>
    <t>26376</t>
  </si>
  <si>
    <t>Villevocance</t>
  </si>
  <si>
    <t>07342</t>
  </si>
  <si>
    <t>Vinezac</t>
  </si>
  <si>
    <t>07343</t>
  </si>
  <si>
    <t>Vinsobres</t>
  </si>
  <si>
    <t>26377</t>
  </si>
  <si>
    <t>Vinzieux</t>
  </si>
  <si>
    <t>07344</t>
  </si>
  <si>
    <t>Vion</t>
  </si>
  <si>
    <t>07345</t>
  </si>
  <si>
    <t>Viviers</t>
  </si>
  <si>
    <t>07346</t>
  </si>
  <si>
    <t>Vocance</t>
  </si>
  <si>
    <t>07347</t>
  </si>
  <si>
    <t>Vogüé</t>
  </si>
  <si>
    <t>07348</t>
  </si>
  <si>
    <t>Volvent</t>
  </si>
  <si>
    <t>26378</t>
  </si>
  <si>
    <t>Nouvelle région</t>
  </si>
  <si>
    <t>Grand-Est</t>
  </si>
  <si>
    <t>Information à saisir ou à sélectionner dans un menu déroulant</t>
  </si>
  <si>
    <t>Information calculée automatiquement</t>
  </si>
  <si>
    <t>Nombre de points obtenus</t>
  </si>
  <si>
    <t>Nombre maximum de points possibles pour l'item</t>
  </si>
  <si>
    <t>à renseigner au format "aaaa-aa"</t>
  </si>
  <si>
    <t>Paramètres E1C : NE PAS MODIFIER</t>
  </si>
  <si>
    <t>campagne en cours</t>
  </si>
  <si>
    <t>campagne n-1</t>
  </si>
  <si>
    <t>campagne N-2</t>
  </si>
  <si>
    <t>Tournière</t>
  </si>
  <si>
    <t>Parcours enherbés de volailles/porcs (si le piétinement des animaux détruit le couvert)</t>
  </si>
  <si>
    <t>jachères de 5 ans ou moins</t>
  </si>
  <si>
    <t>jachères de 6 ans ou plus déclarées comme SIE</t>
  </si>
  <si>
    <t>Autres prairies permanentes dont jachères de 6 ans ou plus (hors celles déclarées SIE)</t>
  </si>
  <si>
    <t>Total horticulture et pépinière hors sol</t>
  </si>
  <si>
    <t>Surfaces et linéaires réels</t>
  </si>
  <si>
    <t>Surfaces et linéaires à saisir</t>
  </si>
  <si>
    <t>Critère poids des IAE : IAE sur surface de l'exploitation</t>
  </si>
  <si>
    <t>Critère obligatoire : IAE sur terres arables</t>
  </si>
  <si>
    <t>« Autres milieux » linéaires : ruines</t>
  </si>
  <si>
    <t>« Autres milieux » linéaires, hors ruines</t>
  </si>
  <si>
    <t>hectares</t>
  </si>
  <si>
    <t>Critère poids des IAE</t>
  </si>
  <si>
    <t>Part de la surface en IAE</t>
  </si>
  <si>
    <t>Critère diversité des IAE</t>
  </si>
  <si>
    <t>Nombre de types d'IAE (herbager, ligneux, rocheux, aquatique)</t>
  </si>
  <si>
    <t>Bilan de l'item</t>
  </si>
  <si>
    <t>Somme des surfaces des parcelles de taille &lt; 6 ha (hors prairies permanentes)</t>
  </si>
  <si>
    <r>
      <rPr>
        <b/>
        <i/>
        <sz val="11"/>
        <rFont val="Calibri"/>
        <family val="2"/>
        <scheme val="minor"/>
      </rPr>
      <t>Information</t>
    </r>
    <r>
      <rPr>
        <sz val="11"/>
        <color theme="1"/>
        <rFont val="Calibri"/>
        <family val="2"/>
        <scheme val="minor"/>
      </rPr>
      <t xml:space="preserve"> :</t>
    </r>
    <r>
      <rPr>
        <i/>
        <sz val="11"/>
        <color rgb="FFFF0000"/>
        <rFont val="Calibri"/>
        <family val="2"/>
        <scheme val="minor"/>
      </rPr>
      <t xml:space="preserve"> Les mélanges de cultures et les prairies de cinq ans et moins sont prises en compte de la façon suivante : </t>
    </r>
  </si>
  <si>
    <t xml:space="preserve">- chaque tranche de 10 % de la SAU en prairie de 5 ans et moins compte comme une culture ; </t>
  </si>
  <si>
    <t xml:space="preserve">- chaque tranche de 10 % de la SAU en mélange de cultures compte comme une culture. </t>
  </si>
  <si>
    <t>Part des surfaces en prairies permanentes sur la SAU</t>
  </si>
  <si>
    <t>Part des prairies permanentes sur la SAU</t>
  </si>
  <si>
    <t>Espèces élevées (hors abeilles)</t>
  </si>
  <si>
    <t>Note gobale obtenue sur l'indicateur</t>
  </si>
  <si>
    <t>Total des points de l'item</t>
  </si>
  <si>
    <t>Participation à une campagne collective de prospection</t>
  </si>
  <si>
    <t>Surface en horticulture</t>
  </si>
  <si>
    <t>Part de la surface en horticulture</t>
  </si>
  <si>
    <t>surface hors horticulture</t>
  </si>
  <si>
    <t xml:space="preserve">SAU hors horticulture </t>
  </si>
  <si>
    <t>Part de la surface hors horticulture</t>
  </si>
  <si>
    <t>Description du matériel utilisé :</t>
  </si>
  <si>
    <t>Surface couverte pour les vignes</t>
  </si>
  <si>
    <t>Surface couverte pour l'arboriculture et autres cultures pérennes</t>
  </si>
  <si>
    <t xml:space="preserve">Total surface en horticulture-pépinière </t>
  </si>
  <si>
    <t>Part de surface en vignes couverte</t>
  </si>
  <si>
    <t>Part de la surface en arboriculture et autres cultures pérennes couverte</t>
  </si>
  <si>
    <t>Part de la surface en horticulture-pépinière couverte</t>
  </si>
  <si>
    <t>Cultures hors sol hors horticulture</t>
  </si>
  <si>
    <t>Horticulture hors sol</t>
  </si>
  <si>
    <t>Part des surfaces en horticulture hors sol avec un système total</t>
  </si>
  <si>
    <t>Part des surfaces en horticulture hors sol avec un système partiel</t>
  </si>
  <si>
    <t>Volume annuel d’eau d’irrigation utilisé sur les cultures concernées</t>
  </si>
  <si>
    <t>Apport d’azote total par les effluents d’élevage importés (E1.2)</t>
  </si>
  <si>
    <t>Apport d’azote total par les autres engrais organiques importés (E2)</t>
  </si>
  <si>
    <t xml:space="preserve">Apport d’azote total par les engrais minéraux (E3) </t>
  </si>
  <si>
    <t>Sortie d'azote total par les effluents d'élevage exportés (E1.3)</t>
  </si>
  <si>
    <t xml:space="preserve">Azote exporté par les surfaces non fourragères (S1.1) </t>
  </si>
  <si>
    <t>Azote exporté par les surfaces fourragères hors herbe (S1.2)</t>
  </si>
  <si>
    <t>Azote exporté par les surfaces en herbe (prairies) (S1.3)</t>
  </si>
  <si>
    <t>Apport d’azote par les engrais organiques importés (E1)</t>
  </si>
  <si>
    <t xml:space="preserve">Apport d’azote par les aliments achetés (E2.1) </t>
  </si>
  <si>
    <t xml:space="preserve">Apport d’azote par les fourrages achetés (E2.2) </t>
  </si>
  <si>
    <t xml:space="preserve">Apport d’azote par la paille achetée (E2.3) </t>
  </si>
  <si>
    <t>Apport d’azote par les animaux achetés (E3)</t>
  </si>
  <si>
    <t>Apport d'azote par les engrais minéraux (E4)</t>
  </si>
  <si>
    <t>Exportation d’azote par les cultures vendues ou cédées (S2)</t>
  </si>
  <si>
    <t>Exportation d’azote par les effluents d’élevage vendus ou donnés (S1)</t>
  </si>
  <si>
    <t>Exportation d’azote par les animaux vendus (S3)</t>
  </si>
  <si>
    <t>Exportation d’azote par les produits animaux vendus (S4)</t>
  </si>
  <si>
    <t>calcul intermed apprent</t>
  </si>
  <si>
    <t>calcul intermed BGA</t>
  </si>
  <si>
    <t>Les cultures mineures ont-elles été prises en compte dans le calcul du bilan ?</t>
  </si>
  <si>
    <t>Quantité totale d’azote minéral apporté sur l’ensemble de la SAU de l’exploitation en t d’azote</t>
  </si>
  <si>
    <t>Quantité totale d’azote organique apporté sur l’ensemble de la SAU de l’exploitation en t d’azote</t>
  </si>
  <si>
    <t>Saisie des surfaces</t>
  </si>
  <si>
    <t>Total surface cultures principales grandes cultures (y compris blé)</t>
  </si>
  <si>
    <t>Utilisation d'un outil PPF ?</t>
  </si>
  <si>
    <t xml:space="preserve">Protéagineux (pois protéagineux, fève, féverole, lupin…) </t>
  </si>
  <si>
    <t xml:space="preserve">Légumes secs / légumineuses à grain </t>
  </si>
  <si>
    <t xml:space="preserve">Mélanges de cultures contenant des légumineuses, protéagineux ou légumes secs </t>
  </si>
  <si>
    <t xml:space="preserve">Prairies temporaires en légumineuses </t>
  </si>
  <si>
    <t xml:space="preserve">Total SAU hors viticulture, arboriculture et horticulture-pépinière </t>
  </si>
  <si>
    <t>Surface en horticulture équipée de matériels optimisant les apports de fertilisants</t>
  </si>
  <si>
    <t>Total des surfaces en horticulture</t>
  </si>
  <si>
    <t>Système de recyclage total des cultures hors sol</t>
  </si>
  <si>
    <t>Surface en horticulture hors sol</t>
  </si>
  <si>
    <t>Utilisation d’outils de mesure sur les surfaces hors horticulture</t>
  </si>
  <si>
    <t>Utilisation d’outils de mesure sur les surfaces en horticulture</t>
  </si>
  <si>
    <t>Surface en horticulture concernées par l'utilisation d'un outil de mesure</t>
  </si>
  <si>
    <t>Description du ou des matériel(s) utilisé(s) :</t>
  </si>
  <si>
    <t>Nom de la démarche collective</t>
  </si>
  <si>
    <t xml:space="preserve">En revanche, tous les prélèvements sur le milieu doivent bien être pris en compte dans le volume total d'eau prélevé. L'eau prélevée hors période d'étiage pour être stockée dans une retenue collinaire doit donc être comptabilisée dans les prélèvements hors période d'étiage. </t>
  </si>
  <si>
    <t>Quantité de substances actives appliquée</t>
  </si>
  <si>
    <t>Couvert végétal inter-rang</t>
  </si>
  <si>
    <t>Quantité d'azote apportée</t>
  </si>
  <si>
    <t>4 - Légendes</t>
  </si>
  <si>
    <t>2e suivi (en gestion collective)</t>
  </si>
  <si>
    <t>jachères noires</t>
  </si>
  <si>
    <r>
      <rPr>
        <b/>
        <i/>
        <sz val="11"/>
        <color theme="1"/>
        <rFont val="Calibri"/>
        <family val="2"/>
        <scheme val="minor"/>
      </rPr>
      <t>Information :</t>
    </r>
    <r>
      <rPr>
        <i/>
        <sz val="11"/>
        <color theme="1"/>
        <rFont val="Calibri"/>
        <family val="2"/>
        <scheme val="minor"/>
      </rPr>
      <t xml:space="preserve"> </t>
    </r>
    <r>
      <rPr>
        <i/>
        <sz val="11"/>
        <color rgb="FFFF0000"/>
        <rFont val="Calibri"/>
        <family val="2"/>
      </rPr>
      <t xml:space="preserve">Pour être prises en compte, les IAE doivent respecter les exigences qualitatives de maintien (haies, bosquets et mares) et d’entretien (arbres – pas de taille et coupe entre le 16/03 et le 15/08). </t>
    </r>
  </si>
  <si>
    <t>Conversion en hectares</t>
  </si>
  <si>
    <t>Critère poids des IAE: IAE sur surface de l'exploitation</t>
  </si>
  <si>
    <r>
      <rPr>
        <b/>
        <i/>
        <sz val="11"/>
        <rFont val="Calibri"/>
        <family val="2"/>
      </rPr>
      <t>Information</t>
    </r>
    <r>
      <rPr>
        <i/>
        <sz val="11"/>
        <color rgb="FFFF0000"/>
        <rFont val="Calibri"/>
        <family val="2"/>
        <scheme val="minor"/>
      </rPr>
      <t xml:space="preserve"> : Sont prises en compte les parcelles et bordures de parcelles n’ayant reçu aucun produit phytosanitaire hors produit de biocontrôle (hormis traitements obligatoires) pendant la campagne évaluée. Ces surfaces non traitées sont repérées sur la base des cahiers d’enregistrement des pratiques. </t>
    </r>
  </si>
  <si>
    <t>1.40 (P70) &lt; IFT</t>
  </si>
  <si>
    <t>IFT &lt;= 1 (P20)</t>
  </si>
  <si>
    <t>Surfaces en horticulture et pépinière</t>
  </si>
  <si>
    <r>
      <rPr>
        <b/>
        <i/>
        <sz val="11"/>
        <rFont val="Calibri"/>
        <family val="2"/>
      </rPr>
      <t>Information participation active</t>
    </r>
    <r>
      <rPr>
        <i/>
        <sz val="11"/>
        <color rgb="FFFF0000"/>
        <rFont val="Calibri"/>
        <family val="2"/>
        <scheme val="minor"/>
      </rPr>
      <t xml:space="preserve"> : Il s’agit d’observer un échantillon représentatif en matière de cépage, de variété, de contexte pédo-climatique et géographique. La surface prise en compte est la surface « représentée » par cet échantillon observé. Les prairies temporaires et permanentes ne sont pas concernées par ce critère : leurs surfaces ne doivent donc pas être prises en compte dans les calculs des ratios. </t>
    </r>
  </si>
  <si>
    <t>surface en horticulture</t>
  </si>
  <si>
    <t>Surface couverte pour l’horticulture-pépinière</t>
  </si>
  <si>
    <t>Apport d’azote total par les effluents produits par l'élevage (E1.1)</t>
  </si>
  <si>
    <t>calcul général</t>
  </si>
  <si>
    <t>calcul spé</t>
  </si>
  <si>
    <t>OTEX</t>
  </si>
  <si>
    <t>BGA</t>
  </si>
  <si>
    <t>Apparent</t>
  </si>
  <si>
    <t>Surfaces concernées possédant :</t>
  </si>
  <si>
    <t>Total points obtenus hors horticulture</t>
  </si>
  <si>
    <t>Total des points obtenus en horticulture</t>
  </si>
  <si>
    <t xml:space="preserve">Note : Seuls les prélèvements directs sur le milieu naturel en période d'étiage sont comptés dans le "volume prélevé en période d'étiage". Par exemple, l’eau prélevée hors période d'étiage pour être stockée dans une retenue collinaire et utilisée pendant la période d’étiage n’est pas à considérer comme un prélèvement pendant la période d’étiage. </t>
  </si>
  <si>
    <t xml:space="preserve">Surfaces concernées possédant : </t>
  </si>
  <si>
    <t>Utilisation de matériels optimisant les apports de fertilisants</t>
  </si>
  <si>
    <t>Nomenclature d'orientation technico-économique des exploitations agricoles</t>
  </si>
  <si>
    <t xml:space="preserve">Source : https://agreste.agriculture.gouv.fr/agreste-web/methodon/N.1/!searchurl/listeTypeMethodon/ </t>
  </si>
  <si>
    <t>Exploitations spécialisées en grandes cultures - céréales et/ou oléoprotéagineux</t>
  </si>
  <si>
    <t>1510</t>
  </si>
  <si>
    <t>Exploitations spécialisées en céréaliculture (autre que le riz) et en culture de plantes oléagineuses et protéagineuses</t>
  </si>
  <si>
    <t>1520</t>
  </si>
  <si>
    <t>Exploitations spécialisées rizicoles</t>
  </si>
  <si>
    <t>1530</t>
  </si>
  <si>
    <t>Exploitations combinant céréales, riz, plantes oléagineuses et protéagineuses</t>
  </si>
  <si>
    <t>Exploitations spécialisées en grandes cultures - autres grandes cultures</t>
  </si>
  <si>
    <t>Exploitations spécialisées en culture de plantes sarclées</t>
  </si>
  <si>
    <t>Exploitations combinant céréales, plantes oléagineuses et protéagineuses et culture de plantes sarclées</t>
  </si>
  <si>
    <t>Exploitations spécialisées en culture de légumes frais de plein champ</t>
  </si>
  <si>
    <t>Exploitations spécialisées en culture de tabac</t>
  </si>
  <si>
    <t>Exploitations avec combinaison de diverses grandes cultures</t>
  </si>
  <si>
    <t>Exploitations spécialisées en maraîchage ou horticulture - Légumes ou champignons</t>
  </si>
  <si>
    <t>Exploitations spécialisées en culture de légumes d'intérieur</t>
  </si>
  <si>
    <t>Exploitations spécialisées en culture de légumes de plein air</t>
  </si>
  <si>
    <t>Exploitations spécialisées dans la culture de champignons</t>
  </si>
  <si>
    <t>Exploitations spécialisées en maraîchage ou horticulture - Fleurs et/ou horticulture diverse</t>
  </si>
  <si>
    <t>Exploitations spécialisées en floriculture et culture de plantes ornementales d'intérieur</t>
  </si>
  <si>
    <t>Exploitations spécialisées en horticulture mixte d'intérieur</t>
  </si>
  <si>
    <t>Exploitations spécialisées en floriculture et culture de plantes ornementales de plein air</t>
  </si>
  <si>
    <t>Exploitations spécialisées en horticulture mixte de plein air</t>
  </si>
  <si>
    <t>Pépinières spécialisées</t>
  </si>
  <si>
    <t>Différents types d'horticulture</t>
  </si>
  <si>
    <t>Exploitations spécialisées en viticulture</t>
  </si>
  <si>
    <t>Exploitations vinicoles spécialisées dans la production de vins de qualité bénéficiant d'une AOP</t>
  </si>
  <si>
    <t>Exploitations vinicoles spécialisées dans la production de vins de qualité bénéficiant d'une IGP</t>
  </si>
  <si>
    <t>Exploitations vinicoles spécialisées dans la production de vins de qualité AOP et IGP</t>
  </si>
  <si>
    <t>Exploitations vinicoles spécialisées dans la production de vins autres que des vins de qualité</t>
  </si>
  <si>
    <t>Exploitations spécialisées dans la production de raisins de table</t>
  </si>
  <si>
    <t>Autres vignobles</t>
  </si>
  <si>
    <t>Exploitations spécialisées en cultures fruitières ou autres cultures permanentes</t>
  </si>
  <si>
    <t>Exploitations fruitières spécialisées (à l'exception des agrumes, des fruits tropicaux et des fruits à coque)</t>
  </si>
  <si>
    <t>Exploitations agrumicoles spécialisées</t>
  </si>
  <si>
    <t>Exploitations spécialisées dans la production de fruits à coque</t>
  </si>
  <si>
    <t>Exploitations spécialisées dans la production de fruits à tropicaux</t>
  </si>
  <si>
    <t>Exploitations spécialisées dans la production de fruits, agrumes, fruits tropicaux et fruits à coque : production mixte</t>
  </si>
  <si>
    <t>Exploitations oléicoles spécialisées</t>
  </si>
  <si>
    <t>Exploitations avec diverses combinaisons de cultures permanentes</t>
  </si>
  <si>
    <t>Exploitations bovines spécialisées - orientation lait</t>
  </si>
  <si>
    <t>Exploitations bovines spécialisées - orientation élevage et viande</t>
  </si>
  <si>
    <t>Exploitations bovines - lait, élevage et viande combinés</t>
  </si>
  <si>
    <t>Exploitations avec ovins et/ou caprins, et/ou autres herbivores</t>
  </si>
  <si>
    <t>Exploitations avec ovis et bovins combinés</t>
  </si>
  <si>
    <t>Exploitations d'équidés et/ou autres herbivores</t>
  </si>
  <si>
    <t>Exploitations spécialisées en porcins et/ou volailles</t>
  </si>
  <si>
    <t>Exploitations spécialisées porcins d'élevage</t>
  </si>
  <si>
    <t>Exploitations spécialisées porcins d'engraissement</t>
  </si>
  <si>
    <t>Exploitations combinant l'élevage et l'engraissement de porcins</t>
  </si>
  <si>
    <t>Exploitations spécialisées poules pondeuses</t>
  </si>
  <si>
    <t>Exploitations spécialisées volailles de chair</t>
  </si>
  <si>
    <t>Exploitations combinant poules pondeuses et volailles de chair</t>
  </si>
  <si>
    <t>Exploitations avec diverses combinaisons de granivores</t>
  </si>
  <si>
    <t>Exploitations de polyélevage : granivores et bovins laitiers combinés</t>
  </si>
  <si>
    <t>Exploitations de polyélevage: granivores et herbivores autres que laitiers</t>
  </si>
  <si>
    <t>Exploitations de polyculture et/ou polyélevage</t>
  </si>
  <si>
    <t>Horticulture et cultures permanentes combinées</t>
  </si>
  <si>
    <t>Exploitations combinant grandes cultures et horticulture</t>
  </si>
  <si>
    <t>Exploitations combinant grandes cultures et vignes</t>
  </si>
  <si>
    <t>Exploitations combinant grandes cultures et cultures permanentes</t>
  </si>
  <si>
    <t>Exploitations de polyculture à orientation grandes cultures</t>
  </si>
  <si>
    <t>Autres exploitations de polyculture</t>
  </si>
  <si>
    <t>Exploitations de polyélevage à orientation laitière</t>
  </si>
  <si>
    <t>Exploitations de polyélevage à orientation herbivores autres que laitiers</t>
  </si>
  <si>
    <t>Exploitations mixtes combinant grandes cultures avec bovins laitiers</t>
  </si>
  <si>
    <t>Exploitations mixtes combinant grandes cultures et granivores</t>
  </si>
  <si>
    <t>Exploitations apicoles</t>
  </si>
  <si>
    <t>Exploitations avec diverses cultures et élevages mixtes</t>
  </si>
  <si>
    <t>Exploitations non classées</t>
  </si>
  <si>
    <t>Type d'exploitation</t>
  </si>
  <si>
    <t>Code</t>
  </si>
  <si>
    <t>Description</t>
  </si>
  <si>
    <t>Productions extérieures :</t>
  </si>
  <si>
    <t xml:space="preserve">Productions couvertes : </t>
  </si>
  <si>
    <t>Version référentiel</t>
  </si>
  <si>
    <t>V1 - 2011</t>
  </si>
  <si>
    <t>V2 - 2013</t>
  </si>
  <si>
    <t>V3 - 2016</t>
  </si>
  <si>
    <t>V4 - 2022</t>
  </si>
  <si>
    <t>Cultures fibres et jachères</t>
  </si>
  <si>
    <t xml:space="preserve">Jachères : </t>
  </si>
  <si>
    <t>Zone de saisie libre :</t>
  </si>
  <si>
    <t>en Ha</t>
  </si>
  <si>
    <r>
      <rPr>
        <b/>
        <i/>
        <sz val="11"/>
        <rFont val="Calibri"/>
        <family val="2"/>
        <scheme val="minor"/>
      </rPr>
      <t xml:space="preserve">Information : </t>
    </r>
    <r>
      <rPr>
        <i/>
        <sz val="11"/>
        <color rgb="FFFF0000"/>
        <rFont val="Calibri"/>
        <family val="2"/>
        <scheme val="minor"/>
      </rPr>
      <t>On tient compte ici de l'ensemble des matériels listés dans l'annexe 7 du plan de contrôle.</t>
    </r>
  </si>
  <si>
    <r>
      <rPr>
        <b/>
        <i/>
        <sz val="11"/>
        <rFont val="Calibri"/>
        <family val="2"/>
      </rPr>
      <t>Information</t>
    </r>
    <r>
      <rPr>
        <i/>
        <sz val="11"/>
        <color rgb="FFFF0000"/>
        <rFont val="Calibri"/>
        <family val="2"/>
        <scheme val="minor"/>
      </rPr>
      <t xml:space="preserve"> : L’item mesure le pourcentage de la surface en inter-rang bénéficiant d’un couvert végétal présent sur l’ensemble de la campagne évaluée. 
Cet item concerne uniquement les cultures de pleine terre.</t>
    </r>
  </si>
  <si>
    <r>
      <rPr>
        <b/>
        <i/>
        <sz val="11"/>
        <rFont val="Calibri"/>
        <family val="2"/>
        <scheme val="minor"/>
      </rPr>
      <t>Information</t>
    </r>
    <r>
      <rPr>
        <i/>
        <sz val="11"/>
        <color rgb="FFFF0000"/>
        <rFont val="Calibri"/>
        <family val="2"/>
        <scheme val="minor"/>
      </rPr>
      <t> : Se référer au plan de contrôle pour la définition des différents postes de bilan.</t>
    </r>
  </si>
  <si>
    <t>Durée réglementaire de couvert à respecter</t>
  </si>
  <si>
    <t xml:space="preserve">L’exploitation respecte-t-elle la durée réglementaire de couvert sur 100 % de la surface concernée ? </t>
  </si>
  <si>
    <t>ZNV</t>
  </si>
  <si>
    <t>ZV</t>
  </si>
  <si>
    <t>100-75</t>
  </si>
  <si>
    <t>Part des surfaces en horticulture concernées par l’utilisation d’un outil de mesure</t>
  </si>
  <si>
    <t>Part de la SAU hors horticulture</t>
  </si>
  <si>
    <t>Part de la SAU en horticulture</t>
  </si>
  <si>
    <t>Part de la SAU en cultures hors sol</t>
  </si>
  <si>
    <t>Date</t>
  </si>
  <si>
    <r>
      <rPr>
        <b/>
        <sz val="11"/>
        <color theme="1"/>
        <rFont val="Calibri"/>
        <family val="2"/>
        <scheme val="minor"/>
      </rPr>
      <t>Note de lecture</t>
    </r>
    <r>
      <rPr>
        <sz val="11"/>
        <color theme="1"/>
        <rFont val="Calibri"/>
        <family val="2"/>
        <scheme val="minor"/>
      </rPr>
      <t> : en Alsace pour l'ensemble des grandes cultures, les valeurs de référence de l'IFT Herbicides sont de 1 (plancher correspondant au 2ème décile) et 1,67 (plafond correspondant au 7ème décile). Ce sont les moyennes des valeurs plancher et plafond des trois années de référence (2011, 2014 et 2017).</t>
    </r>
  </si>
  <si>
    <r>
      <rPr>
        <b/>
        <sz val="11"/>
        <color theme="1"/>
        <rFont val="Calibri"/>
        <family val="2"/>
        <scheme val="minor"/>
      </rPr>
      <t xml:space="preserve">Points de méthode et d'attention </t>
    </r>
    <r>
      <rPr>
        <sz val="11"/>
        <color theme="1"/>
        <rFont val="Calibri"/>
        <family val="2"/>
        <scheme val="minor"/>
      </rPr>
      <t xml:space="preserve">: dans les tableaux, les IFT Herbicides Grandes Cultures tiennent compte de la pomme de terre. Ce sont les mêmes valeurs affichées dans le tableau "Grandes cultures" et le tableau "pommes de terre". </t>
    </r>
  </si>
  <si>
    <t>Saisie obligatoire</t>
  </si>
  <si>
    <t>Participation active à un dispositif de collecte de données d'observation alimentant le bulletin de santé du végétal dans le cadre du réseau national d'épidémio-surveillance, sur :</t>
  </si>
  <si>
    <r>
      <rPr>
        <b/>
        <i/>
        <sz val="11"/>
        <rFont val="Calibri"/>
        <family val="2"/>
      </rPr>
      <t>Information</t>
    </r>
    <r>
      <rPr>
        <i/>
        <sz val="11"/>
        <color rgb="FFFF0000"/>
        <rFont val="Calibri"/>
        <family val="2"/>
        <scheme val="minor"/>
      </rPr>
      <t xml:space="preserve"> : Seules les cultures hors sol sont concernées par cet item.</t>
    </r>
  </si>
  <si>
    <t>Description de ces pratiques :</t>
  </si>
  <si>
    <t>Surface couverte en hectares</t>
  </si>
  <si>
    <t>Part de la SAU en arboriculture et autres cultures pérennes</t>
  </si>
  <si>
    <t>Part de la SAU en horticulture-pépinière</t>
  </si>
  <si>
    <t>Vérification du socle : respect de la durée réglementaire de couvert</t>
  </si>
  <si>
    <t xml:space="preserve"> à garder</t>
  </si>
  <si>
    <t>Qualité biologique du sol</t>
  </si>
  <si>
    <t>NE PAS UTILISER</t>
  </si>
  <si>
    <t>Calendrier dates mise à jour tables de scoring</t>
  </si>
  <si>
    <t>Table de scoring</t>
  </si>
  <si>
    <t>Date MAJ</t>
  </si>
  <si>
    <t>Enregistrement des pratiques d'irrigation</t>
  </si>
  <si>
    <t>Utilisation de matériels optimisant les apports d'eau</t>
  </si>
  <si>
    <t>Statut juridique</t>
  </si>
  <si>
    <t>Autres démarches</t>
  </si>
  <si>
    <t>Calcul Bilan Azoté</t>
  </si>
  <si>
    <t>Superficie totale irriguée durant la campagne évaluée</t>
  </si>
  <si>
    <r>
      <rPr>
        <i/>
        <sz val="11"/>
        <color rgb="FFFF0000"/>
        <rFont val="Calibri"/>
        <family val="2"/>
      </rPr>
      <t>Note</t>
    </r>
    <r>
      <rPr>
        <i/>
        <sz val="11"/>
        <color rgb="FFFF0000"/>
        <rFont val="Calibri"/>
        <family val="2"/>
        <scheme val="minor"/>
      </rPr>
      <t>: Ne pas laisser de cellules vides, mettre "0" si aucun manquant</t>
    </r>
  </si>
  <si>
    <r>
      <rPr>
        <b/>
        <i/>
        <sz val="11"/>
        <rFont val="Calibri"/>
        <family val="2"/>
        <scheme val="minor"/>
      </rPr>
      <t>Information :</t>
    </r>
    <r>
      <rPr>
        <i/>
        <sz val="11"/>
        <color rgb="FFFF0000"/>
        <rFont val="Calibri"/>
        <family val="2"/>
        <scheme val="minor"/>
      </rPr>
      <t xml:space="preserve"> Cet item valorise les méthodes et outils de mesure utilisés dans les exploitations pour ajuster au mieux les apports d'eau d'irrigation aux conditions pédo-climatiques et aux besoins des plantes.</t>
    </r>
  </si>
  <si>
    <r>
      <rPr>
        <b/>
        <i/>
        <sz val="11"/>
        <rFont val="Calibri"/>
        <family val="2"/>
        <scheme val="minor"/>
      </rPr>
      <t>Information :</t>
    </r>
    <r>
      <rPr>
        <i/>
        <sz val="11"/>
        <color rgb="FFFF0000"/>
        <rFont val="Calibri"/>
        <family val="2"/>
        <scheme val="minor"/>
      </rPr>
      <t xml:space="preserve"> Cet item valorise les matériels optimisant les apports en eau en fonction de la surface équipée (arrosage maîtrisé, régulation électronique de l'irrigation, récupération des eaux pluviales, micro-irrigation, recyclage des eaux de lavage…) </t>
    </r>
  </si>
  <si>
    <r>
      <rPr>
        <b/>
        <i/>
        <sz val="11"/>
        <rFont val="Calibri"/>
        <family val="2"/>
        <scheme val="minor"/>
      </rPr>
      <t xml:space="preserve">Information : </t>
    </r>
    <r>
      <rPr>
        <i/>
        <sz val="11"/>
        <color rgb="FFFF0000"/>
        <rFont val="Calibri"/>
        <family val="2"/>
        <scheme val="minor"/>
      </rPr>
      <t>Cet item concerne les cultures hors sol de la filière horticulture et pépinière.</t>
    </r>
  </si>
  <si>
    <t>surface en terres arables de l’exploitation inférieure à 10 ha</t>
  </si>
  <si>
    <t>Noms des variétés, races et espèces menacées présentes sur l'exploitation :</t>
  </si>
  <si>
    <t>Mise en place du test bêche de l'Observatoire Participatif des Vers de Terre</t>
  </si>
  <si>
    <r>
      <t xml:space="preserve">Bordures non productives - critère obligatoire </t>
    </r>
    <r>
      <rPr>
        <b/>
        <sz val="11"/>
        <color rgb="FFFF0000"/>
        <rFont val="Calibri"/>
        <family val="2"/>
      </rPr>
      <t>*</t>
    </r>
  </si>
  <si>
    <r>
      <t>Bordures non productives - critère poids des IAE</t>
    </r>
    <r>
      <rPr>
        <b/>
        <sz val="11"/>
        <color rgb="FFFF0000"/>
        <rFont val="Calibri"/>
        <family val="2"/>
      </rPr>
      <t xml:space="preserve"> *</t>
    </r>
    <r>
      <rPr>
        <b/>
        <sz val="11"/>
        <color rgb="FFFF0000"/>
        <rFont val="Calibri"/>
        <family val="2"/>
        <scheme val="minor"/>
      </rPr>
      <t>*</t>
    </r>
  </si>
  <si>
    <r>
      <rPr>
        <b/>
        <i/>
        <sz val="11"/>
        <color rgb="FFFF0000"/>
        <rFont val="Calibri"/>
        <family val="2"/>
      </rPr>
      <t>*</t>
    </r>
    <r>
      <rPr>
        <i/>
        <sz val="11"/>
        <color theme="1"/>
        <rFont val="Calibri"/>
        <family val="2"/>
        <scheme val="minor"/>
      </rPr>
      <t xml:space="preserve"> Critères : Lorsqu'elle est mise en place en bordure de forêt, la bande doit avoir une largeur minimale de 1 m ; dans tous les autres cas, elle doit avoir une largeur minimale de 5 m.</t>
    </r>
  </si>
  <si>
    <r>
      <rPr>
        <i/>
        <sz val="11"/>
        <color rgb="FFFF0000"/>
        <rFont val="Calibri"/>
        <family val="2"/>
        <scheme val="minor"/>
      </rPr>
      <t>**</t>
    </r>
    <r>
      <rPr>
        <sz val="11"/>
        <color theme="1"/>
        <rFont val="Calibri"/>
        <family val="2"/>
        <scheme val="minor"/>
      </rPr>
      <t xml:space="preserve"> </t>
    </r>
    <r>
      <rPr>
        <i/>
        <sz val="11"/>
        <color theme="1"/>
        <rFont val="Calibri"/>
        <family val="2"/>
      </rPr>
      <t>Critères : Lorsqu'elle est mise en place en bordure de forêt et en bordure de champ, la bande doit avoir une largeur minimale de 1 m ; dans tous les autres cas, elle doit avoir une largeur minimale de 5 m.</t>
    </r>
  </si>
  <si>
    <r>
      <t xml:space="preserve">Autres surfaces de SAU non traitées pendant la campagne </t>
    </r>
    <r>
      <rPr>
        <sz val="11"/>
        <color rgb="FFFF0000"/>
        <rFont val="Calibri"/>
        <family val="2"/>
        <scheme val="minor"/>
      </rPr>
      <t xml:space="preserve">** </t>
    </r>
  </si>
  <si>
    <r>
      <t xml:space="preserve">Surfaces réelles d’IAE incluses dans la SAU </t>
    </r>
    <r>
      <rPr>
        <sz val="11"/>
        <color rgb="FFFF0000"/>
        <rFont val="Calibri"/>
        <family val="2"/>
        <scheme val="minor"/>
      </rPr>
      <t>*</t>
    </r>
  </si>
  <si>
    <r>
      <t xml:space="preserve">* </t>
    </r>
    <r>
      <rPr>
        <i/>
        <sz val="11"/>
        <rFont val="Calibri"/>
        <family val="2"/>
        <scheme val="minor"/>
      </rPr>
      <t xml:space="preserve">Les IAE à prendre en compte ici sont les IAE dont la surface d’emprise réelle est en deçà du seuil leur permettant de les assimiler à la SAU (haie, fossé, bordures... - cf. liste dans le plan de contrôle).
</t>
    </r>
    <r>
      <rPr>
        <i/>
        <sz val="11"/>
        <color rgb="FFFF0000"/>
        <rFont val="Calibri"/>
        <family val="2"/>
        <scheme val="minor"/>
      </rPr>
      <t>**</t>
    </r>
    <r>
      <rPr>
        <i/>
        <sz val="11"/>
        <rFont val="Calibri"/>
        <family val="2"/>
        <scheme val="minor"/>
      </rPr>
      <t xml:space="preserve"> Y compris les IAE, incluses dans la SAU, dont la surface d’emprise n’est pas plafonnée pour les assimiler à la SAU (jachères, alignements d'arbres, arbres isolés... - cf. liste dans le plan de contrôle)</t>
    </r>
  </si>
  <si>
    <r>
      <rPr>
        <b/>
        <i/>
        <sz val="11"/>
        <color theme="1"/>
        <rFont val="Calibri"/>
        <family val="2"/>
      </rPr>
      <t>Information</t>
    </r>
    <r>
      <rPr>
        <i/>
        <sz val="11"/>
        <color theme="1"/>
        <rFont val="Calibri"/>
        <family val="2"/>
        <scheme val="minor"/>
      </rPr>
      <t xml:space="preserve"> : </t>
    </r>
    <r>
      <rPr>
        <i/>
        <sz val="11"/>
        <color rgb="FFFF0000"/>
        <rFont val="Calibri"/>
        <family val="2"/>
        <scheme val="minor"/>
      </rPr>
      <t>Une méthode alternative remplace 1 passage d'1 dose d'1 produit phytosanitaire.</t>
    </r>
  </si>
  <si>
    <t>Description des matériels et méthodes utilisés :</t>
  </si>
  <si>
    <t>Part de la surface concernée légumes, fleurs et fruits hors arboriculture</t>
  </si>
  <si>
    <t>Part de la surface concernée par PPF</t>
  </si>
  <si>
    <t>Part de la surface concernée par PPF Aj</t>
  </si>
  <si>
    <t>Part de la surface concernée par PPF Aj et ODP</t>
  </si>
  <si>
    <t>Cultures mineures : part de la surface concernée par PPF Aj et ODP</t>
  </si>
  <si>
    <t>Autres surfaces non fertilisées pendant la campagne évaluée</t>
  </si>
  <si>
    <t>Total surface non fertilisée</t>
  </si>
  <si>
    <t>Surface des légumineuses en inter-rang (sans destruction chimique)</t>
  </si>
  <si>
    <t>Couverture globale de la surface</t>
  </si>
  <si>
    <t>Nombre de semaines de couvert (y compris durée réglementaire)</t>
  </si>
  <si>
    <t>Couvert végétal inter-rang en viticulture, arboriculture et horticulture-pépinière</t>
  </si>
  <si>
    <t>Part de la SAU en vignes</t>
  </si>
  <si>
    <t>Note sur la campagne évaluée :</t>
  </si>
  <si>
    <t>la campagne évaluée est la dernière campagne achevée à la date de l’audit.</t>
  </si>
  <si>
    <t xml:space="preserve">* Note : </t>
  </si>
  <si>
    <t>ET ayant une superficie supérieure à 50 ares, sauf si elle couvre l’intégralité d’une surface qui n’est pas adjacente à une autre surface de prairie ou pâturage permanent.</t>
  </si>
  <si>
    <t>ET dont limites correspondent à des ruptures franches de milieu</t>
  </si>
  <si>
    <t>ET couvrant une surface codée en prairies et pâturages permanents</t>
  </si>
  <si>
    <t xml:space="preserve">ET affectée d’un % (par l’opérateur) précisant la part d’éléments non admissibles </t>
  </si>
  <si>
    <t>Grandes cultures (PdT inclus)</t>
  </si>
  <si>
    <t>Surface concernée en Ha</t>
  </si>
  <si>
    <r>
      <rPr>
        <b/>
        <i/>
        <sz val="11"/>
        <rFont val="Calibri"/>
        <family val="2"/>
      </rPr>
      <t xml:space="preserve">Information </t>
    </r>
    <r>
      <rPr>
        <i/>
        <sz val="11"/>
        <rFont val="Calibri"/>
        <family val="2"/>
        <scheme val="minor"/>
      </rPr>
      <t>:</t>
    </r>
    <r>
      <rPr>
        <i/>
        <sz val="11"/>
        <color rgb="FFFF0000"/>
        <rFont val="Calibri"/>
        <family val="2"/>
        <scheme val="minor"/>
      </rPr>
      <t xml:space="preserve"> Les cultures concernées sont les cultures hors sol de la filière horticulture et pépinière.</t>
    </r>
  </si>
  <si>
    <t>NOTATION EN COURS</t>
  </si>
  <si>
    <t>ANCIENNE NOTATION</t>
  </si>
  <si>
    <r>
      <rPr>
        <b/>
        <i/>
        <sz val="11"/>
        <color theme="1"/>
        <rFont val="Calibri"/>
        <family val="2"/>
      </rPr>
      <t>Source</t>
    </r>
    <r>
      <rPr>
        <i/>
        <sz val="11"/>
        <color theme="1"/>
        <rFont val="Calibri"/>
        <family val="2"/>
        <scheme val="minor"/>
      </rPr>
      <t xml:space="preserve"> : </t>
    </r>
  </si>
  <si>
    <r>
      <rPr>
        <b/>
        <i/>
        <sz val="11"/>
        <color theme="1"/>
        <rFont val="Calibri"/>
        <family val="2"/>
      </rPr>
      <t>Source</t>
    </r>
    <r>
      <rPr>
        <i/>
        <sz val="11"/>
        <color theme="1"/>
        <rFont val="Calibri"/>
        <family val="2"/>
        <scheme val="minor"/>
      </rPr>
      <t> :</t>
    </r>
  </si>
  <si>
    <r>
      <rPr>
        <b/>
        <sz val="8.8000000000000007"/>
        <color theme="1"/>
        <rFont val="Calibri"/>
        <family val="2"/>
      </rPr>
      <t>Source</t>
    </r>
    <r>
      <rPr>
        <sz val="11"/>
        <color theme="1"/>
        <rFont val="Calibri"/>
        <family val="2"/>
        <scheme val="minor"/>
      </rPr>
      <t xml:space="preserve"> : </t>
    </r>
  </si>
  <si>
    <t>SYNTHÈSE</t>
  </si>
  <si>
    <t>Les exploitations sont classées selon leur spécialisation : l'orientation technico- économique (OTEX). Ce classement se fait à partir des coefficients de production brute standard (PBS).
Une exploitation est spécialisée dans un domaine si la PBS de la ou des productions concernées dépasse deux tiers du total.</t>
  </si>
  <si>
    <t>Nombre de variétés végétales menacées cultivées</t>
  </si>
  <si>
    <t>Nombre de races animales menacées élevées</t>
  </si>
  <si>
    <t>Nombre de points obtenus pour les variétés végétales menacées cultivées</t>
  </si>
  <si>
    <t>Nombre points obtenus pour les races animales menacées élevées</t>
  </si>
  <si>
    <t>Analyse microbiologique des sols en laboratoire</t>
  </si>
  <si>
    <r>
      <rPr>
        <b/>
        <i/>
        <sz val="11"/>
        <rFont val="Calibri"/>
        <family val="2"/>
      </rPr>
      <t xml:space="preserve">Information </t>
    </r>
    <r>
      <rPr>
        <i/>
        <sz val="11"/>
        <rFont val="Calibri"/>
        <family val="2"/>
        <scheme val="minor"/>
      </rPr>
      <t>:</t>
    </r>
    <r>
      <rPr>
        <i/>
        <sz val="11"/>
        <color rgb="FFFF0000"/>
        <rFont val="Calibri"/>
        <family val="2"/>
        <scheme val="minor"/>
      </rPr>
      <t xml:space="preserve"> Cet item concerne la filière horticulture et pépinière.</t>
    </r>
  </si>
  <si>
    <r>
      <rPr>
        <b/>
        <i/>
        <sz val="11"/>
        <rFont val="Calibri"/>
        <family val="2"/>
      </rPr>
      <t xml:space="preserve">Information </t>
    </r>
    <r>
      <rPr>
        <i/>
        <sz val="11"/>
        <rFont val="Calibri"/>
        <family val="2"/>
        <scheme val="minor"/>
      </rPr>
      <t>:</t>
    </r>
    <r>
      <rPr>
        <i/>
        <sz val="11"/>
        <color rgb="FFFF0000"/>
        <rFont val="Calibri"/>
        <family val="2"/>
        <scheme val="minor"/>
      </rPr>
      <t xml:space="preserve"> Les surfaces concernées sont les surfaces en cultures hors sol.</t>
    </r>
  </si>
  <si>
    <t>Surface irriguée avec des matériels optimisant les apports d'eau</t>
  </si>
  <si>
    <r>
      <rPr>
        <b/>
        <i/>
        <sz val="11"/>
        <rFont val="Calibri"/>
        <family val="2"/>
      </rPr>
      <t xml:space="preserve">Information </t>
    </r>
    <r>
      <rPr>
        <i/>
        <sz val="11"/>
        <rFont val="Calibri"/>
        <family val="2"/>
        <scheme val="minor"/>
      </rPr>
      <t>:</t>
    </r>
    <r>
      <rPr>
        <i/>
        <sz val="11"/>
        <color rgb="FFFF0000"/>
        <rFont val="Calibri"/>
        <family val="2"/>
        <scheme val="minor"/>
      </rPr>
      <t xml:space="preserve"> Cet item est applicable aux cultures de pleine terre.</t>
    </r>
  </si>
  <si>
    <t>Nombre de campagnes concernées</t>
  </si>
  <si>
    <t>Nb de campagnes pour calcul bilan (1,2 ou 3)</t>
  </si>
  <si>
    <r>
      <t xml:space="preserve">Utilisation de produits phytosanitaires classés </t>
    </r>
    <r>
      <rPr>
        <b/>
        <sz val="11"/>
        <color theme="1"/>
        <rFont val="Calibri"/>
        <family val="2"/>
      </rPr>
      <t>CMR1</t>
    </r>
  </si>
  <si>
    <t>Part des eaux d'irrigation recyclée pour cultures hors sol hors horticulture</t>
  </si>
  <si>
    <r>
      <rPr>
        <b/>
        <sz val="11"/>
        <color theme="1"/>
        <rFont val="Calibri"/>
        <family val="2"/>
        <scheme val="minor"/>
      </rPr>
      <t>Note de lecture </t>
    </r>
    <r>
      <rPr>
        <sz val="11"/>
        <color theme="1"/>
        <rFont val="Calibri"/>
        <family val="2"/>
        <scheme val="minor"/>
      </rPr>
      <t xml:space="preserve">: dans le bassin viticole du Bordelais, les valeurs de référence de l'IFT herbicides sont de 0,0 (plancher correspondant au 2e décile) et 0,6 (plafond correspondant au 7e décile). Ce sont respectivement les moyennes des valeurs plancher et plafond des trois années de référence (2013, 2016 et 2019). </t>
    </r>
    <r>
      <rPr>
        <b/>
        <sz val="11"/>
        <color theme="1"/>
        <rFont val="Calibri"/>
        <family val="2"/>
      </rPr>
      <t/>
    </r>
  </si>
  <si>
    <r>
      <rPr>
        <b/>
        <sz val="11"/>
        <color theme="1"/>
        <rFont val="Calibri"/>
        <family val="2"/>
      </rPr>
      <t>Source</t>
    </r>
    <r>
      <rPr>
        <sz val="11"/>
        <color theme="1"/>
        <rFont val="Calibri"/>
        <family val="2"/>
        <scheme val="minor"/>
      </rPr>
      <t> : SSP – Agreste : enquêtes sur les pratiques culturales en viticulture en 2013 et en 2019 et sur les pratiques phytosanitaires en 2016</t>
    </r>
  </si>
  <si>
    <r>
      <rPr>
        <b/>
        <sz val="11"/>
        <color theme="1"/>
        <rFont val="Calibri"/>
        <family val="2"/>
      </rPr>
      <t>Source</t>
    </r>
    <r>
      <rPr>
        <sz val="11"/>
        <color theme="1"/>
        <rFont val="Calibri"/>
        <family val="2"/>
        <scheme val="minor"/>
      </rPr>
      <t xml:space="preserve"> : SSP – Agreste, enquêtes sur les pratiques culturales en arboriculture en 2015, et sur les pratiques phytosanitaires en 2012 et 2018</t>
    </r>
  </si>
  <si>
    <r>
      <rPr>
        <b/>
        <sz val="11"/>
        <color theme="1"/>
        <rFont val="Calibri"/>
        <family val="2"/>
      </rPr>
      <t>Note de lecture</t>
    </r>
    <r>
      <rPr>
        <sz val="11"/>
        <color theme="1"/>
        <rFont val="Calibri"/>
        <family val="2"/>
        <scheme val="minor"/>
      </rPr>
      <t xml:space="preserve"> : En région Centre, les valeurs de référence de l'IFT herbicides pour la culture de cerisier sont de 0,14 (plancher correspondant au 2e décile) et 0,36 (plafond correspondant au 7e décile). Ce sont respectivement les moyennes des valeurs plancher et plafond des trois années de référence (2012, 2015 et 2018). </t>
    </r>
  </si>
  <si>
    <r>
      <rPr>
        <b/>
        <sz val="11"/>
        <color theme="1"/>
        <rFont val="Calibri"/>
        <family val="2"/>
        <scheme val="minor"/>
      </rPr>
      <t>Points de méthode et d'attention :</t>
    </r>
    <r>
      <rPr>
        <sz val="11"/>
        <color theme="1"/>
        <rFont val="Calibri"/>
        <family val="2"/>
        <scheme val="minor"/>
      </rPr>
      <t xml:space="preserve"> 
Pour les espèces non couvertes par les enquêtes pratiques culturales, la règle de décision retenue en 2022 est la suivante : 
- Lorsque </t>
    </r>
    <r>
      <rPr>
        <u/>
        <sz val="11"/>
        <color theme="1"/>
        <rFont val="Calibri"/>
        <family val="2"/>
        <scheme val="minor"/>
      </rPr>
      <t>dans une région en métropole</t>
    </r>
    <r>
      <rPr>
        <sz val="11"/>
        <color theme="1"/>
        <rFont val="Calibri"/>
        <family val="2"/>
        <scheme val="minor"/>
      </rPr>
      <t xml:space="preserve"> une espèce n’est pas couverte par les enquêtes pratiques culturales : s’il s’agit d’un agrume, la valeur « clémentinier » est attribuée ; s’il s’agit d’un autre fruit, la valeur « prunier » est attribué. Il s'agit du fruit présent dans le plus grand nombre de régions et qui est associé à une valeur « intermédiaire » d’IFT (i.e. ce n’est pas le fruit avec les plus faibles IFT, ni le fruit avec les plus forts IFT). 
Si la valeur de référence régionale « clémentinier » ou « prunier » n’est pas disponible, on prend alors la valeur nationale correspondante. 
- En </t>
    </r>
    <r>
      <rPr>
        <u/>
        <sz val="11"/>
        <color theme="1"/>
        <rFont val="Calibri"/>
        <family val="2"/>
        <scheme val="minor"/>
      </rPr>
      <t>Martinique et Guadeloupe,</t>
    </r>
    <r>
      <rPr>
        <sz val="11"/>
        <color theme="1"/>
        <rFont val="Calibri"/>
        <family val="2"/>
        <scheme val="minor"/>
      </rPr>
      <t xml:space="preserve"> l’ensemble des fruits prennent la valeur de la banane et en </t>
    </r>
    <r>
      <rPr>
        <u/>
        <sz val="11"/>
        <color theme="1"/>
        <rFont val="Calibri"/>
        <family val="2"/>
        <scheme val="minor"/>
      </rPr>
      <t>Guyane</t>
    </r>
    <r>
      <rPr>
        <sz val="11"/>
        <color theme="1"/>
        <rFont val="Calibri"/>
        <family val="2"/>
        <scheme val="minor"/>
      </rPr>
      <t xml:space="preserve">, l’ensemble des fruits prennent la valeur des agrumes (ce sont les seuls fruits enquêtés localement).   </t>
    </r>
  </si>
  <si>
    <r>
      <rPr>
        <b/>
        <sz val="11"/>
        <color theme="1"/>
        <rFont val="Calibri"/>
        <family val="2"/>
        <scheme val="minor"/>
      </rPr>
      <t xml:space="preserve">Points de méthode et d'attention </t>
    </r>
    <r>
      <rPr>
        <sz val="11"/>
        <color theme="1"/>
        <rFont val="Calibri"/>
        <family val="2"/>
        <scheme val="minor"/>
      </rPr>
      <t xml:space="preserve">: 
- Lorsqu'un bassin des enquêtes pratiques culturales </t>
    </r>
    <r>
      <rPr>
        <u/>
        <sz val="11"/>
        <color theme="1"/>
        <rFont val="Calibri"/>
        <family val="2"/>
        <scheme val="minor"/>
      </rPr>
      <t>n'a pas été enquêté une année</t>
    </r>
    <r>
      <rPr>
        <sz val="11"/>
        <color theme="1"/>
        <rFont val="Calibri"/>
        <family val="2"/>
        <scheme val="minor"/>
      </rPr>
      <t xml:space="preserve">, lui ont été attribuées pour cette année-là les valeurs du grand bassin FranceAgriMer d'appartenance et, à défaut, les valeurs nationales. 
C'est le cas des bassins Bugey Savoie (en 2013) et Jura (en 2013 et 2016) qui appartiennent au grand bassin Bourgogne-Beaujolais-Savoie-Jura. C'est aussi le cas du bassin de Corse dont les valeurs en 2013 sont issues de la distribution nationale.
- Lorsqu'un bassin </t>
    </r>
    <r>
      <rPr>
        <u/>
        <sz val="11"/>
        <color theme="1"/>
        <rFont val="Calibri"/>
        <family val="2"/>
        <scheme val="minor"/>
      </rPr>
      <t>n'est pas enquêté</t>
    </r>
    <r>
      <rPr>
        <sz val="11"/>
        <color theme="1"/>
        <rFont val="Calibri"/>
        <family val="2"/>
        <scheme val="minor"/>
      </rPr>
      <t xml:space="preserve">, lui ont été attribuées les valeurs du grand bassin FranceAgriMer d'appartenance ("Autres zones viticoles - Alsace-Est", "Autres zones viticoles-Bourgogne-Beaujolais-Savoie-Jura", "Autres zones viticoles - Champagne", "Autres zones viticoles Vallée du Rhône-Provence", "Autres zones viticoles - Sud-Ouest, "Autres zones viticoles Val de Loire-Centre") et, à défaut, les valeurs nationales ("Autres zones viticoles"). 
- Les valeurs attribuées au </t>
    </r>
    <r>
      <rPr>
        <u/>
        <sz val="11"/>
        <color theme="1"/>
        <rFont val="Calibri"/>
        <family val="2"/>
        <scheme val="minor"/>
      </rPr>
      <t>bassin viticole "Pyrénées-Orientales"</t>
    </r>
    <r>
      <rPr>
        <sz val="11"/>
        <color theme="1"/>
        <rFont val="Calibri"/>
        <family val="2"/>
        <scheme val="minor"/>
      </rPr>
      <t xml:space="preserve"> correspondent aux valeurs du grand bassin viticole FranceAgriMer "Languedoc-Roussillon".</t>
    </r>
  </si>
  <si>
    <r>
      <t xml:space="preserve">Utilisation de produits herbicides classés </t>
    </r>
    <r>
      <rPr>
        <b/>
        <sz val="11"/>
        <color theme="1"/>
        <rFont val="Calibri"/>
        <family val="2"/>
      </rPr>
      <t>CMR2</t>
    </r>
  </si>
  <si>
    <r>
      <t xml:space="preserve">Utilisation de produits non herbicides classés </t>
    </r>
    <r>
      <rPr>
        <b/>
        <sz val="11"/>
        <color theme="1"/>
        <rFont val="Calibri"/>
        <family val="2"/>
      </rPr>
      <t>CMR2</t>
    </r>
  </si>
  <si>
    <t>Superficie totale irrigable</t>
  </si>
  <si>
    <t>Part de la SAU hors cultures pérennes localisée en zone vulnérable (en %)</t>
  </si>
  <si>
    <t>Surfaces localisées en zone vulnérable</t>
  </si>
  <si>
    <t>Surfaces localisées hors zone vulnérable</t>
  </si>
  <si>
    <t>Se référer au PAN et au PAR le cas échéant</t>
  </si>
  <si>
    <t>6 semaines</t>
  </si>
  <si>
    <t>Surface totale concernée en hectares</t>
  </si>
  <si>
    <t>Part de la surface couverte hors vignes, arboriculture et horticulture-pépinière en zone vulnérable</t>
  </si>
  <si>
    <t>Part de la surface couverte hors vignes, arboriculture et horticulture-pépinière hors zone vulnérable</t>
  </si>
  <si>
    <t>Part de la SAU hors vignes, arboriculture et horticulture-pépinière en zone vulnérable</t>
  </si>
  <si>
    <t>Part de la SAU hors vignes, arboriculture et horticulture-pépinière hors zone vulnérable</t>
  </si>
  <si>
    <t>SUIVI DES MODIFICATIONS APPORTÉES À LA GRILLE D'AUDIT</t>
  </si>
  <si>
    <t>Version</t>
  </si>
  <si>
    <t>Modifications apportées</t>
  </si>
  <si>
    <t>v1.00</t>
  </si>
  <si>
    <t>v1.01</t>
  </si>
  <si>
    <t>v1.02</t>
  </si>
  <si>
    <t>Correction du bassin viticole pour les départements du Languedoc-Roussillon (impact sur les IFT de références).</t>
  </si>
  <si>
    <t xml:space="preserve">Pour les surfaces hors cultures pérennes, distinction des cas pour les surfaces en zone vulnérable et les surfaces hors zone vulnérable, pour pouvoir prendre en compte les particulatrités des deux types de parcelles pour les exploitations à cheval sur les deux zones. Suppression de la question "Localisation en zone vulnérable" dans l'onglet Identification. </t>
  </si>
  <si>
    <r>
      <rPr>
        <b/>
        <i/>
        <sz val="11"/>
        <rFont val="Calibri"/>
        <family val="2"/>
      </rPr>
      <t xml:space="preserve">Information </t>
    </r>
    <r>
      <rPr>
        <i/>
        <sz val="11"/>
        <rFont val="Calibri"/>
        <family val="2"/>
        <scheme val="minor"/>
      </rPr>
      <t>:</t>
    </r>
    <r>
      <rPr>
        <i/>
        <sz val="11"/>
        <color rgb="FFFF0000"/>
        <rFont val="Calibri"/>
        <family val="2"/>
        <scheme val="minor"/>
      </rPr>
      <t xml:space="preserve"> Cet item concerne les cultures de pleine terre. </t>
    </r>
  </si>
  <si>
    <t>v1.03</t>
  </si>
  <si>
    <t xml:space="preserve">Correction du calcul de la surface en ligne 283 : "Total SAU hors viticulture, arboriculture et horticulture-pépinière" en enlevant les surfaces hors sol. </t>
  </si>
  <si>
    <t>BIODIVERSITÉ</t>
  </si>
  <si>
    <t>CObl_Ratio</t>
  </si>
  <si>
    <t>CPds_Ratio</t>
  </si>
  <si>
    <t>Note globale</t>
  </si>
  <si>
    <t>CPds_Haie</t>
  </si>
  <si>
    <t>CPds_Alignement arbres</t>
  </si>
  <si>
    <t>CPds_Arbre isolé</t>
  </si>
  <si>
    <t>CPds_Bosquets</t>
  </si>
  <si>
    <t>CPds_Mare</t>
  </si>
  <si>
    <t>CPds_Fossé</t>
  </si>
  <si>
    <t>CObl_Expl. concernée</t>
  </si>
  <si>
    <t>CPds_Bordures</t>
  </si>
  <si>
    <t>CPds_Jachère</t>
  </si>
  <si>
    <t>CPds_J. mellifère</t>
  </si>
  <si>
    <t>CPds_Zones humides</t>
  </si>
  <si>
    <t>CPds_Verger haute-tige</t>
  </si>
  <si>
    <t>CPds_Bandes intra-parcellaires</t>
  </si>
  <si>
    <t>CPds_Zone Natura 2000</t>
  </si>
  <si>
    <t>CPds_Zones en défens</t>
  </si>
  <si>
    <t>CPds_Autres surfaciques</t>
  </si>
  <si>
    <t>CPds_Autres ruines</t>
  </si>
  <si>
    <t>CPds_Autres linéaires</t>
  </si>
  <si>
    <t>Surfaces &lt; 6ha</t>
  </si>
  <si>
    <t>Surfaces PP</t>
  </si>
  <si>
    <t>Note</t>
  </si>
  <si>
    <t>Nb total</t>
  </si>
  <si>
    <t>Nb espèces animales</t>
  </si>
  <si>
    <t>Part PP/SAU</t>
  </si>
  <si>
    <t>Nb ruches</t>
  </si>
  <si>
    <t>Test-bêche</t>
  </si>
  <si>
    <t>Analyse microbio</t>
  </si>
  <si>
    <t>7. Variété ou race menacée</t>
  </si>
  <si>
    <t>8. Qualité bio du sol</t>
  </si>
  <si>
    <t>Nb variétés végétales</t>
  </si>
  <si>
    <t>6. Présence de ruches</t>
  </si>
  <si>
    <t>5. Nb espèces animales</t>
  </si>
  <si>
    <t>4. Nb espèces végétales</t>
  </si>
  <si>
    <t>3. Poids culture principale</t>
  </si>
  <si>
    <t>2. Taille parcelles</t>
  </si>
  <si>
    <t>1. Part de la surface de l'exploitation en IAE</t>
  </si>
  <si>
    <t>STRATÉGIE PHYTOSANITAIRE</t>
  </si>
  <si>
    <t>1. CMR</t>
  </si>
  <si>
    <t>Produits CMR1</t>
  </si>
  <si>
    <t>Produits herbicides CMR2</t>
  </si>
  <si>
    <t>Produits hors herbicides CMR2</t>
  </si>
  <si>
    <t>2. Surfaces non traitées</t>
  </si>
  <si>
    <t>Surfaces IAE</t>
  </si>
  <si>
    <t>Autres surfaces</t>
  </si>
  <si>
    <t>3. IFT</t>
  </si>
  <si>
    <t>IFTexp_GCH</t>
  </si>
  <si>
    <t>IFTexp_GCHH</t>
  </si>
  <si>
    <t>IFTexp_PdTH</t>
  </si>
  <si>
    <t>IFTexp_PdTHH</t>
  </si>
  <si>
    <t>IFTexp_VH</t>
  </si>
  <si>
    <t>IFTexp_VHH</t>
  </si>
  <si>
    <t>IFTexp_AH</t>
  </si>
  <si>
    <t>IFTexp_AHH</t>
  </si>
  <si>
    <t>Note_GCH</t>
  </si>
  <si>
    <t>Note_GCHH</t>
  </si>
  <si>
    <t>Note_VH</t>
  </si>
  <si>
    <t>Note_VHH</t>
  </si>
  <si>
    <t>Note_AH</t>
  </si>
  <si>
    <t>Note_AHH</t>
  </si>
  <si>
    <t>Note finale</t>
  </si>
  <si>
    <t>Notefinale</t>
  </si>
  <si>
    <t>5. Surveillance active</t>
  </si>
  <si>
    <t>Critère1</t>
  </si>
  <si>
    <t>Critère2</t>
  </si>
  <si>
    <t>Critère3</t>
  </si>
  <si>
    <t>Note_C1</t>
  </si>
  <si>
    <t>Note_C2</t>
  </si>
  <si>
    <t>Note_C3</t>
  </si>
  <si>
    <t>6. Utilisation de méthodes alternatives</t>
  </si>
  <si>
    <t>Note hors horticulture</t>
  </si>
  <si>
    <t>Note horticulture</t>
  </si>
  <si>
    <t>7. Condition d'applications</t>
  </si>
  <si>
    <t>Nb matériels utilisés</t>
  </si>
  <si>
    <t>Note_Vigne</t>
  </si>
  <si>
    <t>Note_Arbo</t>
  </si>
  <si>
    <t>Note_Lég fleurs fruits</t>
  </si>
  <si>
    <t>Note_Hors sol</t>
  </si>
  <si>
    <t>9. Couvert végétal inter-rang</t>
  </si>
  <si>
    <t>Ratio_Vigne</t>
  </si>
  <si>
    <t>Ratio_Arbo</t>
  </si>
  <si>
    <t>Note_Horti</t>
  </si>
  <si>
    <t>Ratio_Horti</t>
  </si>
  <si>
    <t>10. Recyclage eaux irrigation</t>
  </si>
  <si>
    <t>Ratio_Hors horti</t>
  </si>
  <si>
    <t>Ratio_Horti total</t>
  </si>
  <si>
    <t>Ratio_Horti partiel</t>
  </si>
  <si>
    <t>Note_Hors horti</t>
  </si>
  <si>
    <t>Note_Horti total</t>
  </si>
  <si>
    <t>Note_Horti partiel</t>
  </si>
  <si>
    <t>Ratio hors horticulture</t>
  </si>
  <si>
    <t>Ratio horticulture</t>
  </si>
  <si>
    <t>8. Diversité spécifique et variétale</t>
  </si>
  <si>
    <t>GESTION DE LA FERTILISATION</t>
  </si>
  <si>
    <t>1. Bilan azoté</t>
  </si>
  <si>
    <t>Méthode retenue</t>
  </si>
  <si>
    <t>Otex concernée</t>
  </si>
  <si>
    <t>Nb campagnes</t>
  </si>
  <si>
    <t>Solde bilan</t>
  </si>
  <si>
    <t>Part cultures mineures</t>
  </si>
  <si>
    <t>Note corrigée</t>
  </si>
  <si>
    <t>2. Quantité d'azote</t>
  </si>
  <si>
    <t>3. Part azote organique</t>
  </si>
  <si>
    <t>4. Utilisation d'OAD</t>
  </si>
  <si>
    <t>CPpale_GC_Note</t>
  </si>
  <si>
    <t>CPpale_CP_Note</t>
  </si>
  <si>
    <t>CMin_Note</t>
  </si>
  <si>
    <t>5. % SAU non fertilisée</t>
  </si>
  <si>
    <t>4. Quantité substances</t>
  </si>
  <si>
    <t>6. Part des légumineuses</t>
  </si>
  <si>
    <t>Surface lég. inter-rang</t>
  </si>
  <si>
    <t xml:space="preserve">Surface lég. </t>
  </si>
  <si>
    <t>7. Couverture des sols</t>
  </si>
  <si>
    <t>ZV_Socle</t>
  </si>
  <si>
    <t>ZV_Surface couverte</t>
  </si>
  <si>
    <t>ZV_Nb semaines</t>
  </si>
  <si>
    <t>ZV_Note</t>
  </si>
  <si>
    <t>ZV_Note pondérée</t>
  </si>
  <si>
    <t>HZV_Socle</t>
  </si>
  <si>
    <t>HZV_Surface couverte</t>
  </si>
  <si>
    <t>HZV_Nb semaines</t>
  </si>
  <si>
    <t>HZV_Note</t>
  </si>
  <si>
    <t>HZV_Note pondérée</t>
  </si>
  <si>
    <t>8. Matériels optimisant les apports</t>
  </si>
  <si>
    <t>v1.04</t>
  </si>
  <si>
    <t>GESTION DE L'IRRIGATION</t>
  </si>
  <si>
    <t>Informations préalables</t>
  </si>
  <si>
    <t>Expl. irrigante</t>
  </si>
  <si>
    <t>% surface irriguée</t>
  </si>
  <si>
    <t>1. Enregistrement des pratiques</t>
  </si>
  <si>
    <t>Présence cahier</t>
  </si>
  <si>
    <t>Part données manquantes</t>
  </si>
  <si>
    <t>2. Utilisation d'outils de mesure</t>
  </si>
  <si>
    <t>Nb_outils_offre</t>
  </si>
  <si>
    <t>Nb_outils_demande</t>
  </si>
  <si>
    <t>Horti_Ratio</t>
  </si>
  <si>
    <t>Horti_Note</t>
  </si>
  <si>
    <t>4. Adhésion démarche co</t>
  </si>
  <si>
    <t>Adhésion</t>
  </si>
  <si>
    <t>5. Pratiques agronomiques</t>
  </si>
  <si>
    <t>6. Prélèvements étiage</t>
  </si>
  <si>
    <t>8. Récupération eaux pluie</t>
  </si>
  <si>
    <t>Présence dispositif</t>
  </si>
  <si>
    <t>3. Mat. optimisant apports</t>
  </si>
  <si>
    <t>Nb_outils mixtes</t>
  </si>
  <si>
    <t>Identification</t>
  </si>
  <si>
    <t>Contexte de l'audit</t>
  </si>
  <si>
    <t>Organisme auditeur</t>
  </si>
  <si>
    <t>Type de certification</t>
  </si>
  <si>
    <t>Type d'audit</t>
  </si>
  <si>
    <t>Nature de l'audit</t>
  </si>
  <si>
    <t>Identification exploitation auditée</t>
  </si>
  <si>
    <t>Caractéristiques générales</t>
  </si>
  <si>
    <t>Niveaux de certification</t>
  </si>
  <si>
    <t>Date 1ère certif HVE</t>
  </si>
  <si>
    <t>Surfaces</t>
  </si>
  <si>
    <t>Surface exploitation</t>
  </si>
  <si>
    <t>Surface totale</t>
  </si>
  <si>
    <t>SAU</t>
  </si>
  <si>
    <t>Campagne évaluée</t>
  </si>
  <si>
    <t>Structure collective</t>
  </si>
  <si>
    <t>Nom de l'auditeur</t>
  </si>
  <si>
    <t>Version du référentiel appliquée</t>
  </si>
  <si>
    <t>Date de l'audit interne</t>
  </si>
  <si>
    <t>Date attestion niveau 1</t>
  </si>
  <si>
    <t>Structure validatrice du niveau 1</t>
  </si>
  <si>
    <t>v4 - 2022</t>
  </si>
  <si>
    <t>Correction de la formule en M55 pour qu'elle n'affiche rien tant que le nombre de campagnes n'est pas saisi, et non "0".</t>
  </si>
  <si>
    <t>Structure du fichier</t>
  </si>
  <si>
    <t>Protéagineux et lég. à grain</t>
  </si>
  <si>
    <t>Fourrages</t>
  </si>
  <si>
    <t>Surfaces en herbe</t>
  </si>
  <si>
    <t>Cultures industrielles</t>
  </si>
  <si>
    <t>Légumes, fleurs, fruits hors arbo</t>
  </si>
  <si>
    <t>Autres cultures pérennes</t>
  </si>
  <si>
    <t>N°</t>
  </si>
  <si>
    <t>*</t>
  </si>
  <si>
    <t>Date de délivrance de la 1ère certification</t>
  </si>
  <si>
    <t>Version de la certification en cours</t>
  </si>
  <si>
    <t>inutile ici</t>
  </si>
  <si>
    <t>Nouvelle colonne</t>
  </si>
  <si>
    <t>V4</t>
  </si>
  <si>
    <t>Commentaire</t>
  </si>
  <si>
    <t>-</t>
  </si>
  <si>
    <t>Accord annuaire</t>
  </si>
  <si>
    <t>Contexte de l'audit interne de niveau 3</t>
  </si>
  <si>
    <t>Données spécifiques pour les structures collectives</t>
  </si>
  <si>
    <t>Email</t>
  </si>
  <si>
    <t>Date de certification niveau 2</t>
  </si>
  <si>
    <t>Organisme certificateur niveau 2</t>
  </si>
  <si>
    <t>Certification niveau 2</t>
  </si>
  <si>
    <t>Date de 1ère délivrance de la certification HVE</t>
  </si>
  <si>
    <r>
      <rPr>
        <sz val="11"/>
        <color rgb="FFFF0000"/>
        <rFont val="Arial"/>
        <family val="2"/>
      </rPr>
      <t>*</t>
    </r>
    <r>
      <rPr>
        <sz val="8"/>
        <color rgb="FFFF0000"/>
        <rFont val="Arial"/>
        <family val="2"/>
      </rPr>
      <t xml:space="preserve"> si cet audit est le 1er</t>
    </r>
  </si>
  <si>
    <t>CPds_Mur pierres</t>
  </si>
  <si>
    <t>CDiv_Nb</t>
  </si>
  <si>
    <t>Exhaustif</t>
  </si>
  <si>
    <t xml:space="preserve">Les cases surmontées d'un * (Y, Z et AA) sont à remplir manuellement, l'information n'étant pas disponible dans le fichier. </t>
  </si>
  <si>
    <t xml:space="preserve">Les cases surmontées d'un * (Z, AA, AB, AE et HJ) sont à remplir manuellement, l'information n'étant pas disponible dans le fichier. </t>
  </si>
  <si>
    <r>
      <rPr>
        <b/>
        <sz val="8"/>
        <color rgb="FFFF0000"/>
        <rFont val="Arial"/>
        <family val="2"/>
      </rPr>
      <t xml:space="preserve">* </t>
    </r>
    <r>
      <rPr>
        <sz val="8"/>
        <color rgb="FFFF0000"/>
        <rFont val="Arial"/>
        <family val="2"/>
      </rPr>
      <t>si cet audit est le 1er</t>
    </r>
  </si>
  <si>
    <t>Ajout d'un onglet BDD_SC rassemblant des données pour les structures collectives.
Changement du nom de l'onglet BDD en BDD_OC, onglet destiné aux organismes certificateurs.</t>
  </si>
  <si>
    <t>v1.05</t>
  </si>
  <si>
    <t>Onglet Surfaces</t>
  </si>
  <si>
    <t>Onglet Synthèse</t>
  </si>
  <si>
    <t xml:space="preserve">Correction du calcul de la SAU en campagne n-1 et n-2 (cases P162 et P163) pour que les jachères noires soient prises en compte dans la somme (comme pour l'année n). </t>
  </si>
  <si>
    <t xml:space="preserve">Observations de l'auditeur : </t>
  </si>
  <si>
    <t xml:space="preserve">Observations de l'exploitant : </t>
  </si>
  <si>
    <t>Onglet ou item concerné</t>
  </si>
  <si>
    <t>Signature de l'auditeur :</t>
  </si>
  <si>
    <t xml:space="preserve">Signature de l'exploitant : </t>
  </si>
  <si>
    <t xml:space="preserve">Correction des formules de calcul des IFT de référence (grandes cultures et viticulture) pour que le résultat ne s'affiche qu'à partir du moment où des surfaces concernées sont saisies dans l'onglet Surfaces. 
Correction du calcul de l'IFT exploitant grandes cultures + pomme de terre (calcul masqué), prenant en compte l'IFT exploitant grandes cultures et l'IFT exploitant pomme de terre déclarés dans le tableau J88:M89 et permettant d'attribuer les points :
- dans le cas d'une exploitation faisant de la pomme de terre mais n'ayant pas de surfaces en grandes cultures ni prairies temporaires, l'IFT exploitant ne se calculait pas ;
- les surfaces en prairies permanentes étaient intégrées dans la moyenne pondérée : elles ont été enlevées.  </t>
  </si>
  <si>
    <t>Déverrouillage des zones de signature pour pouvoir insérer des formes ou des images.
Ajout du nom de l'exploitant et de l'auditeur au niveau des zones de saisie libre "Observations" et "Signatures".</t>
  </si>
  <si>
    <t>Autres arbres et arbustes en pot</t>
  </si>
  <si>
    <t>Plantes à massif, plantes vivaces, plants potagers en pot</t>
  </si>
  <si>
    <t>Autres fleurs coupées en pot</t>
  </si>
  <si>
    <t>Autres cultures couvertes pleine terre</t>
  </si>
  <si>
    <t>Fleurs coupées d'été pleine terre</t>
  </si>
  <si>
    <t>Autres cultures non couvertes pleine terre</t>
  </si>
  <si>
    <t>Légumes, fleurs, fruits hors arboriculture en plein air - pleine terre</t>
  </si>
  <si>
    <t>Légumes, fleurs, fruits hors arboriculture sous tunnel - pleine terre</t>
  </si>
  <si>
    <t>Légumes, fleurs, fruits hors arboriculture sous serre - pleine terre</t>
  </si>
  <si>
    <t>Toutes cultures hors sol (plantes en pots, hydroponie…)</t>
  </si>
  <si>
    <t>v1.06</t>
  </si>
  <si>
    <t>SAU cultivée en horticulture - pépinière lors du mois considéré</t>
  </si>
  <si>
    <r>
      <t xml:space="preserve">SAU cultivée en horticulture - pépinière </t>
    </r>
    <r>
      <rPr>
        <i/>
        <u/>
        <sz val="11"/>
        <color theme="1"/>
        <rFont val="Calibri"/>
        <family val="2"/>
        <scheme val="minor"/>
      </rPr>
      <t>hors sol</t>
    </r>
    <r>
      <rPr>
        <i/>
        <sz val="11"/>
        <color theme="1"/>
        <rFont val="Calibri"/>
        <family val="2"/>
        <scheme val="minor"/>
      </rPr>
      <t xml:space="preserve"> lors du mois considéré</t>
    </r>
  </si>
  <si>
    <t xml:space="preserve">Productions couvertes </t>
  </si>
  <si>
    <t>Productions extérieures</t>
  </si>
  <si>
    <t>Surface moy. / mois</t>
  </si>
  <si>
    <t>Onglet Surfaces_Horti</t>
  </si>
  <si>
    <r>
      <t xml:space="preserve">Surface des cultures "mineures" - </t>
    </r>
    <r>
      <rPr>
        <b/>
        <i/>
        <sz val="11"/>
        <color rgb="FFFF0000"/>
        <rFont val="Calibri"/>
        <family val="2"/>
        <scheme val="minor"/>
      </rPr>
      <t>SAISIE OBLIGATOIRE</t>
    </r>
  </si>
  <si>
    <t>Pour la surface en cultures mineures, remplir obligatoirement la case M58 dans l'item 1. Bilan azoté</t>
  </si>
  <si>
    <t>Surface non cultivée</t>
  </si>
  <si>
    <t>mois n°… de la campagne n-1</t>
  </si>
  <si>
    <t>mois n°… de la campagne évaluée (n)</t>
  </si>
  <si>
    <t xml:space="preserve">Attention : cette valeur doit être la même tous les mois. Cette ligne sert de vérification de la cohérence des surfaces de l'exploitation dédiées à l'horticulture. </t>
  </si>
  <si>
    <r>
      <t xml:space="preserve">Attention : cette valeur doit être la même tous les mois. Cette ligne sert de vérification de la cohérence des surfaces de l'exploitation dédiées à l'horticulture </t>
    </r>
    <r>
      <rPr>
        <i/>
        <u/>
        <sz val="11"/>
        <color theme="1"/>
        <rFont val="Calibri"/>
        <family val="2"/>
        <scheme val="minor"/>
      </rPr>
      <t>hors sol</t>
    </r>
    <r>
      <rPr>
        <i/>
        <sz val="11"/>
        <color theme="1"/>
        <rFont val="Calibri"/>
        <family val="2"/>
        <scheme val="minor"/>
      </rPr>
      <t xml:space="preserve">. </t>
    </r>
  </si>
  <si>
    <t>Surfaces par année (en ha)</t>
  </si>
  <si>
    <t>Annexe 5  Fourchettes de consommation "Horticultures et pépinières"</t>
  </si>
  <si>
    <t>Annexe 2 : Liste des infrastructures agro-écologiques</t>
  </si>
  <si>
    <t>Item IFT</t>
  </si>
  <si>
    <t>Codes et libellés des départements / régions / bassins viticoles</t>
  </si>
  <si>
    <r>
      <t xml:space="preserve">Surface </t>
    </r>
    <r>
      <rPr>
        <u/>
        <sz val="11"/>
        <color theme="1"/>
        <rFont val="Calibri"/>
        <family val="2"/>
        <scheme val="minor"/>
      </rPr>
      <t>hors sol</t>
    </r>
    <r>
      <rPr>
        <sz val="11"/>
        <color theme="1"/>
        <rFont val="Calibri"/>
        <family val="2"/>
        <scheme val="minor"/>
      </rPr>
      <t xml:space="preserve"> non cultivée</t>
    </r>
  </si>
  <si>
    <r>
      <t xml:space="preserve">Surface </t>
    </r>
    <r>
      <rPr>
        <u/>
        <sz val="11"/>
        <color theme="1"/>
        <rFont val="Calibri"/>
        <family val="2"/>
        <scheme val="minor"/>
      </rPr>
      <t>totale</t>
    </r>
    <r>
      <rPr>
        <sz val="11"/>
        <color theme="1"/>
        <rFont val="Calibri"/>
        <family val="2"/>
        <scheme val="minor"/>
      </rPr>
      <t xml:space="preserve"> (pleine terre + hors sol) non cultivée</t>
    </r>
  </si>
  <si>
    <t xml:space="preserve">Nouvel onglet de saisie mensuelle des surfaces cultivées en horticulture et des surfaces dédiées à l'horticulture non cultivées chaque mois. Le tableau Annexe Horticulture est alimenté automatiquement à partir de ce nouvel onglet. </t>
  </si>
  <si>
    <t>Dans le tableau Légumes, fleurs, fruits hors arboriculture : lignes 133, 134, 135, précision qu'il s'agit de cultures de pleine terre, la ligne 136 regroupant toutes les surfaces hors sol. 
Dans le tableau Annexe Horticulture et pépinière : 
- modification de la classification des plantes entre hors sol et pleine terre
- suppression de la saisie dans ce tableau (cf. nouvel onglet Surfaces_Horti)</t>
  </si>
  <si>
    <t>Substances actives (kg sa/an)</t>
  </si>
  <si>
    <t>Azote (kg N/an)</t>
  </si>
  <si>
    <t xml:space="preserve">Correction de la proratisation des points pour les "légumes, fleurs et fruits hors arboriculture" en excluant la surface en pommes de terre, non concernées par cet item. </t>
  </si>
  <si>
    <t>Légumes, fleurs et fruits hors arboriculture - hors pommes de terre</t>
  </si>
  <si>
    <t>Saisir les données dans l'onglet "Surfaces_Horti".</t>
  </si>
  <si>
    <t>Version 1.06</t>
  </si>
  <si>
    <t>du 08/03/2023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</si>
</sst>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 ###\ ###\ #####"/>
    <numFmt numFmtId="165" formatCode="0000"/>
    <numFmt numFmtId="166" formatCode="_-* #,##0.00\ _€_-;\-* #,##0.00\ _€_-;_-* &quot;-&quot;??\ _€_-;_-@_-"/>
    <numFmt numFmtId="167" formatCode="[$£-809]#,##0.00;[Red]&quot;-&quot;[$£-809]#,##0.00"/>
    <numFmt numFmtId="168" formatCode="0#&quot; &quot;##&quot; &quot;##&quot; &quot;##&quot; &quot;##"/>
    <numFmt numFmtId="169" formatCode="0000\-00"/>
    <numFmt numFmtId="170" formatCode="00000"/>
    <numFmt numFmtId="171" formatCode="#,##0;\-#,##0;"/>
    <numFmt numFmtId="172" formatCode="000\ 000\ 000\ 00000"/>
    <numFmt numFmtId="173" formatCode="00&quot; &quot;00&quot; &quot;00&quot; &quot;00&quot; &quot;00"/>
    <numFmt numFmtId="174" formatCode=";;;"/>
    <numFmt numFmtId="175" formatCode="00000000000000"/>
    <numFmt numFmtId="176" formatCode="0000000000"/>
    <numFmt numFmtId="177" formatCode="0.0"/>
  </numFmts>
  <fonts count="71" x14ac:knownFonts="1">
    <font>
      <sz val="11"/>
      <color theme="1"/>
      <name val="Calibri"/>
      <family val="2"/>
      <scheme val="minor"/>
    </font>
    <font>
      <b/>
      <sz val="11"/>
      <color theme="0"/>
      <name val="Calibri"/>
      <family val="2"/>
      <scheme val="minor"/>
    </font>
    <font>
      <b/>
      <i/>
      <u/>
      <sz val="11"/>
      <color theme="1"/>
      <name val="Calibri"/>
      <family val="2"/>
      <scheme val="minor"/>
    </font>
    <font>
      <b/>
      <sz val="11"/>
      <color theme="1"/>
      <name val="Calibri"/>
      <family val="2"/>
      <scheme val="minor"/>
    </font>
    <font>
      <i/>
      <sz val="11"/>
      <color rgb="FFFF0000"/>
      <name val="Calibri"/>
      <family val="2"/>
      <scheme val="minor"/>
    </font>
    <font>
      <b/>
      <i/>
      <sz val="22"/>
      <color theme="9" tint="-0.499984740745262"/>
      <name val="Calibri"/>
      <family val="2"/>
      <scheme val="minor"/>
    </font>
    <font>
      <i/>
      <sz val="11"/>
      <color theme="1"/>
      <name val="Calibri"/>
      <family val="2"/>
      <scheme val="minor"/>
    </font>
    <font>
      <i/>
      <sz val="8"/>
      <color rgb="FFFF0000"/>
      <name val="Calibri"/>
      <family val="2"/>
      <scheme val="minor"/>
    </font>
    <font>
      <sz val="9"/>
      <color theme="1"/>
      <name val="Calibri"/>
      <family val="2"/>
      <scheme val="minor"/>
    </font>
    <font>
      <b/>
      <sz val="11"/>
      <color rgb="FFFF0000"/>
      <name val="Calibri"/>
      <family val="2"/>
      <scheme val="minor"/>
    </font>
    <font>
      <b/>
      <sz val="11"/>
      <color rgb="FFFF0000"/>
      <name val="Calibri"/>
      <family val="2"/>
    </font>
    <font>
      <sz val="11"/>
      <color theme="0"/>
      <name val="Calibri"/>
      <family val="2"/>
      <scheme val="minor"/>
    </font>
    <font>
      <b/>
      <i/>
      <sz val="11"/>
      <color theme="1"/>
      <name val="Calibri"/>
      <family val="2"/>
      <scheme val="minor"/>
    </font>
    <font>
      <b/>
      <i/>
      <sz val="12"/>
      <color theme="1"/>
      <name val="Calibri"/>
      <family val="2"/>
      <scheme val="minor"/>
    </font>
    <font>
      <i/>
      <sz val="9"/>
      <color rgb="FFFF0000"/>
      <name val="Calibri"/>
      <family val="2"/>
      <scheme val="minor"/>
    </font>
    <font>
      <sz val="8"/>
      <name val="Calibri"/>
      <family val="2"/>
      <scheme val="minor"/>
    </font>
    <font>
      <i/>
      <sz val="11"/>
      <color theme="0"/>
      <name val="Calibri"/>
      <family val="2"/>
      <scheme val="minor"/>
    </font>
    <font>
      <sz val="11"/>
      <color theme="1"/>
      <name val="Liberation Sans"/>
      <family val="2"/>
    </font>
    <font>
      <sz val="10"/>
      <name val="Arial"/>
      <family val="2"/>
    </font>
    <font>
      <b/>
      <sz val="11"/>
      <color theme="1"/>
      <name val="Calibri"/>
      <family val="2"/>
    </font>
    <font>
      <b/>
      <i/>
      <sz val="11"/>
      <color theme="1"/>
      <name val="Calibri"/>
      <family val="2"/>
    </font>
    <font>
      <b/>
      <i/>
      <sz val="10"/>
      <name val="Arial"/>
      <family val="2"/>
    </font>
    <font>
      <i/>
      <sz val="10"/>
      <name val="Arial"/>
      <family val="2"/>
    </font>
    <font>
      <sz val="11"/>
      <color theme="1"/>
      <name val="Calibri"/>
      <family val="2"/>
      <scheme val="minor"/>
    </font>
    <font>
      <sz val="11"/>
      <name val="Calibri"/>
      <family val="2"/>
      <scheme val="minor"/>
    </font>
    <font>
      <sz val="26"/>
      <name val="Calibri"/>
      <family val="2"/>
      <scheme val="minor"/>
    </font>
    <font>
      <sz val="11"/>
      <color rgb="FFFF0000"/>
      <name val="Calibri"/>
      <family val="2"/>
      <scheme val="minor"/>
    </font>
    <font>
      <u/>
      <sz val="11"/>
      <color theme="10"/>
      <name val="Calibri"/>
      <family val="2"/>
      <scheme val="minor"/>
    </font>
    <font>
      <i/>
      <sz val="11"/>
      <color theme="1"/>
      <name val="Calibri"/>
      <family val="2"/>
    </font>
    <font>
      <i/>
      <sz val="8"/>
      <color theme="1"/>
      <name val="Calibri"/>
      <family val="2"/>
      <scheme val="minor"/>
    </font>
    <font>
      <b/>
      <i/>
      <sz val="11"/>
      <name val="Calibri"/>
      <family val="2"/>
      <scheme val="minor"/>
    </font>
    <font>
      <i/>
      <sz val="9"/>
      <color theme="0"/>
      <name val="Calibri"/>
      <family val="2"/>
      <scheme val="minor"/>
    </font>
    <font>
      <b/>
      <sz val="11"/>
      <color rgb="FF000000"/>
      <name val="Calibri"/>
      <family val="2"/>
    </font>
    <font>
      <b/>
      <sz val="14"/>
      <color theme="1"/>
      <name val="Calibri"/>
      <family val="2"/>
      <scheme val="minor"/>
    </font>
    <font>
      <b/>
      <i/>
      <sz val="14"/>
      <color theme="1"/>
      <name val="Calibri"/>
      <family val="2"/>
      <scheme val="minor"/>
    </font>
    <font>
      <b/>
      <i/>
      <sz val="11"/>
      <color theme="0"/>
      <name val="Calibri"/>
      <family val="2"/>
      <scheme val="minor"/>
    </font>
    <font>
      <b/>
      <i/>
      <sz val="11"/>
      <color theme="0"/>
      <name val="Calibri"/>
      <family val="2"/>
    </font>
    <font>
      <b/>
      <sz val="11"/>
      <name val="Calibri"/>
      <family val="2"/>
      <scheme val="minor"/>
    </font>
    <font>
      <b/>
      <sz val="10"/>
      <name val="Arial"/>
      <family val="2"/>
    </font>
    <font>
      <sz val="14"/>
      <name val="Arial"/>
      <family val="2"/>
    </font>
    <font>
      <b/>
      <i/>
      <sz val="16"/>
      <color theme="1"/>
      <name val="Liberation Sans"/>
      <family val="2"/>
    </font>
    <font>
      <b/>
      <i/>
      <u/>
      <sz val="11"/>
      <color theme="1"/>
      <name val="Liberation Sans"/>
      <family val="2"/>
    </font>
    <font>
      <b/>
      <i/>
      <sz val="11"/>
      <color rgb="FFFF0000"/>
      <name val="Calibri"/>
      <family val="2"/>
      <scheme val="minor"/>
    </font>
    <font>
      <sz val="8"/>
      <color theme="1"/>
      <name val="Calibri"/>
      <family val="2"/>
      <scheme val="minor"/>
    </font>
    <font>
      <sz val="10"/>
      <color theme="1"/>
      <name val="Calibri"/>
      <family val="2"/>
      <scheme val="minor"/>
    </font>
    <font>
      <b/>
      <sz val="8.5"/>
      <color theme="1"/>
      <name val="Calibri"/>
      <family val="2"/>
    </font>
    <font>
      <sz val="10"/>
      <color rgb="FFFF0000"/>
      <name val="Calibri"/>
      <family val="2"/>
      <scheme val="minor"/>
    </font>
    <font>
      <b/>
      <sz val="10"/>
      <color theme="1"/>
      <name val="Liberation Sans"/>
      <family val="2"/>
    </font>
    <font>
      <b/>
      <sz val="11"/>
      <color theme="1"/>
      <name val="Liberation Sans"/>
      <family val="2"/>
    </font>
    <font>
      <sz val="10"/>
      <color theme="1"/>
      <name val="Arial"/>
      <family val="2"/>
    </font>
    <font>
      <b/>
      <i/>
      <sz val="22"/>
      <name val="Calibri"/>
      <family val="2"/>
      <scheme val="minor"/>
    </font>
    <font>
      <b/>
      <i/>
      <sz val="10"/>
      <color theme="1"/>
      <name val="Arial"/>
      <family val="2"/>
    </font>
    <font>
      <i/>
      <sz val="11"/>
      <color rgb="FFFF0000"/>
      <name val="Calibri"/>
      <family val="2"/>
    </font>
    <font>
      <b/>
      <i/>
      <sz val="11"/>
      <name val="Calibri"/>
      <family val="2"/>
    </font>
    <font>
      <i/>
      <sz val="11"/>
      <name val="Calibri"/>
      <family val="2"/>
      <scheme val="minor"/>
    </font>
    <font>
      <b/>
      <sz val="8.8000000000000007"/>
      <color theme="1"/>
      <name val="Calibri"/>
      <family val="2"/>
    </font>
    <font>
      <b/>
      <i/>
      <sz val="11"/>
      <color rgb="FFFF0000"/>
      <name val="Calibri"/>
      <family val="2"/>
    </font>
    <font>
      <u/>
      <sz val="11"/>
      <color theme="1"/>
      <name val="Calibri"/>
      <family val="2"/>
      <scheme val="minor"/>
    </font>
    <font>
      <sz val="14"/>
      <color theme="1"/>
      <name val="Calibri"/>
      <family val="2"/>
      <scheme val="minor"/>
    </font>
    <font>
      <sz val="8"/>
      <color theme="1"/>
      <name val="Arial"/>
      <family val="2"/>
    </font>
    <font>
      <b/>
      <sz val="8"/>
      <color theme="1"/>
      <name val="Arial"/>
      <family val="2"/>
    </font>
    <font>
      <b/>
      <sz val="8"/>
      <color theme="0"/>
      <name val="Arial"/>
      <family val="2"/>
    </font>
    <font>
      <sz val="8"/>
      <color rgb="FFFF0000"/>
      <name val="Arial"/>
      <family val="2"/>
    </font>
    <font>
      <sz val="11"/>
      <color theme="1"/>
      <name val="Arial"/>
      <family val="2"/>
    </font>
    <font>
      <b/>
      <sz val="8"/>
      <name val="Arial"/>
      <family val="2"/>
    </font>
    <font>
      <b/>
      <i/>
      <sz val="8"/>
      <name val="Arial"/>
      <family val="2"/>
    </font>
    <font>
      <sz val="11"/>
      <color rgb="FFFF0000"/>
      <name val="Arial"/>
      <family val="2"/>
    </font>
    <font>
      <b/>
      <sz val="11"/>
      <color rgb="FFFF0000"/>
      <name val="Arial"/>
      <family val="2"/>
    </font>
    <font>
      <i/>
      <sz val="11"/>
      <color rgb="FFFF0000"/>
      <name val="Arial"/>
      <family val="2"/>
    </font>
    <font>
      <b/>
      <sz val="8"/>
      <color rgb="FFFF0000"/>
      <name val="Arial"/>
      <family val="2"/>
    </font>
    <font>
      <i/>
      <u/>
      <sz val="11"/>
      <color theme="1"/>
      <name val="Calibri"/>
      <family val="2"/>
      <scheme val="minor"/>
    </font>
  </fonts>
  <fills count="41">
    <fill>
      <patternFill patternType="none"/>
    </fill>
    <fill>
      <patternFill patternType="gray125"/>
    </fill>
    <fill>
      <patternFill patternType="solid">
        <fgColor theme="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9" tint="-0.49998474074526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FF5050"/>
        <bgColor indexed="64"/>
      </patternFill>
    </fill>
    <fill>
      <patternFill patternType="solid">
        <fgColor rgb="FFFFCCCC"/>
        <bgColor indexed="64"/>
      </patternFill>
    </fill>
    <fill>
      <patternFill patternType="solid">
        <fgColor rgb="FFFF9999"/>
        <bgColor indexed="64"/>
      </patternFill>
    </fill>
    <fill>
      <patternFill patternType="solid">
        <fgColor rgb="FF800000"/>
        <bgColor indexed="64"/>
      </patternFill>
    </fill>
    <fill>
      <patternFill patternType="solid">
        <fgColor rgb="FFCC0000"/>
        <bgColor indexed="64"/>
      </patternFill>
    </fill>
    <fill>
      <patternFill patternType="solid">
        <fgColor theme="0" tint="-0.14999847407452621"/>
        <bgColor indexed="64"/>
      </patternFill>
    </fill>
    <fill>
      <patternFill patternType="lightUp">
        <bgColor theme="0" tint="-0.14996795556505021"/>
      </patternFill>
    </fill>
    <fill>
      <patternFill patternType="lightUp"/>
    </fill>
    <fill>
      <patternFill patternType="solid">
        <fgColor rgb="FFFFC000"/>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lightUp">
        <bgColor theme="7" tint="0.79995117038483843"/>
      </patternFill>
    </fill>
    <fill>
      <patternFill patternType="lightUp">
        <bgColor theme="9" tint="-0.249977111117893"/>
      </patternFill>
    </fill>
    <fill>
      <patternFill patternType="solid">
        <fgColor theme="5" tint="-0.499984740745262"/>
        <bgColor indexed="64"/>
      </patternFill>
    </fill>
    <fill>
      <patternFill patternType="solid">
        <fgColor theme="5" tint="0.59999389629810485"/>
        <bgColor indexed="64"/>
      </patternFill>
    </fill>
    <fill>
      <patternFill patternType="solid">
        <fgColor theme="2"/>
        <bgColor indexed="64"/>
      </patternFill>
    </fill>
    <fill>
      <patternFill patternType="solid">
        <fgColor theme="2" tint="-0.89999084444715716"/>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3"/>
      </left>
      <right/>
      <top style="medium">
        <color theme="3"/>
      </top>
      <bottom/>
      <diagonal/>
    </border>
    <border>
      <left/>
      <right/>
      <top style="medium">
        <color theme="3"/>
      </top>
      <bottom/>
      <diagonal/>
    </border>
    <border>
      <left style="medium">
        <color theme="3"/>
      </left>
      <right/>
      <top/>
      <bottom/>
      <diagonal/>
    </border>
    <border>
      <left style="medium">
        <color theme="3"/>
      </left>
      <right/>
      <top/>
      <bottom style="medium">
        <color theme="3"/>
      </bottom>
      <diagonal/>
    </border>
    <border>
      <left/>
      <right/>
      <top/>
      <bottom style="medium">
        <color theme="3"/>
      </bottom>
      <diagonal/>
    </border>
    <border>
      <left/>
      <right/>
      <top style="thin">
        <color auto="1"/>
      </top>
      <bottom style="thin">
        <color auto="1"/>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medium">
        <color theme="4" tint="-0.499984740745262"/>
      </right>
      <top/>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top/>
      <bottom style="dashed">
        <color auto="1"/>
      </bottom>
      <diagonal/>
    </border>
    <border>
      <left/>
      <right/>
      <top/>
      <bottom style="hair">
        <color auto="1"/>
      </bottom>
      <diagonal/>
    </border>
    <border>
      <left/>
      <right/>
      <top style="hair">
        <color auto="1"/>
      </top>
      <bottom style="hair">
        <color auto="1"/>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dashed">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hair">
        <color auto="1"/>
      </bottom>
      <diagonal/>
    </border>
    <border>
      <left/>
      <right style="dashed">
        <color auto="1"/>
      </right>
      <top/>
      <bottom/>
      <diagonal/>
    </border>
    <border>
      <left style="dashed">
        <color auto="1"/>
      </left>
      <right/>
      <top style="hair">
        <color auto="1"/>
      </top>
      <bottom style="hair">
        <color auto="1"/>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top/>
      <bottom style="hair">
        <color auto="1"/>
      </bottom>
      <diagonal/>
    </border>
    <border>
      <left/>
      <right/>
      <top style="hair">
        <color auto="1"/>
      </top>
      <bottom style="dashed">
        <color auto="1"/>
      </bottom>
      <diagonal/>
    </border>
    <border>
      <left style="dashed">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medium">
        <color auto="1"/>
      </top>
      <bottom/>
      <diagonal/>
    </border>
    <border>
      <left/>
      <right/>
      <top/>
      <bottom style="dotted">
        <color auto="1"/>
      </bottom>
      <diagonal/>
    </border>
    <border>
      <left/>
      <right/>
      <top style="dotted">
        <color auto="1"/>
      </top>
      <bottom style="dotted">
        <color auto="1"/>
      </bottom>
      <diagonal/>
    </border>
    <border>
      <left/>
      <right/>
      <top style="medium">
        <color theme="4" tint="-0.499984740745262"/>
      </top>
      <bottom style="thin">
        <color auto="1"/>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medium">
        <color auto="1"/>
      </top>
      <bottom style="thin">
        <color indexed="64"/>
      </bottom>
      <diagonal/>
    </border>
    <border>
      <left style="thin">
        <color auto="1"/>
      </left>
      <right style="thin">
        <color auto="1"/>
      </right>
      <top style="medium">
        <color auto="1"/>
      </top>
      <bottom style="thin">
        <color indexed="64"/>
      </bottom>
      <diagonal/>
    </border>
    <border>
      <left/>
      <right/>
      <top style="dotted">
        <color auto="1"/>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top/>
      <bottom style="medium">
        <color auto="1"/>
      </bottom>
      <diagonal/>
    </border>
    <border>
      <left/>
      <right/>
      <top style="hair">
        <color auto="1"/>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right/>
      <top style="thin">
        <color auto="1"/>
      </top>
      <bottom style="dashed">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rgb="FF000000"/>
      </right>
      <top/>
      <bottom style="thin">
        <color rgb="FF000000"/>
      </bottom>
      <diagonal/>
    </border>
    <border>
      <left style="thin">
        <color rgb="FF000000"/>
      </left>
      <right style="thick">
        <color auto="1"/>
      </right>
      <top/>
      <bottom style="thin">
        <color rgb="FF000000"/>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rgb="FF000000"/>
      </bottom>
      <diagonal/>
    </border>
    <border>
      <left style="thin">
        <color rgb="FF000000"/>
      </left>
      <right style="medium">
        <color auto="1"/>
      </right>
      <top/>
      <bottom style="thin">
        <color rgb="FF000000"/>
      </bottom>
      <diagonal/>
    </border>
    <border>
      <left style="thick">
        <color auto="1"/>
      </left>
      <right/>
      <top style="medium">
        <color auto="1"/>
      </top>
      <bottom style="thin">
        <color auto="1"/>
      </bottom>
      <diagonal/>
    </border>
    <border>
      <left/>
      <right style="thick">
        <color auto="1"/>
      </right>
      <top style="medium">
        <color auto="1"/>
      </top>
      <bottom style="thin">
        <color auto="1"/>
      </bottom>
      <diagonal/>
    </border>
    <border>
      <left/>
      <right style="medium">
        <color indexed="64"/>
      </right>
      <top/>
      <bottom style="thick">
        <color auto="1"/>
      </bottom>
      <diagonal/>
    </border>
    <border>
      <left style="medium">
        <color indexed="64"/>
      </left>
      <right/>
      <top/>
      <bottom style="thick">
        <color auto="1"/>
      </bottom>
      <diagonal/>
    </border>
    <border>
      <left style="thin">
        <color indexed="64"/>
      </left>
      <right style="medium">
        <color auto="1"/>
      </right>
      <top style="thin">
        <color indexed="64"/>
      </top>
      <bottom style="double">
        <color indexed="64"/>
      </bottom>
      <diagonal/>
    </border>
    <border>
      <left style="thin">
        <color indexed="64"/>
      </left>
      <right style="medium">
        <color auto="1"/>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right style="medium">
        <color auto="1"/>
      </right>
      <top style="thin">
        <color auto="1"/>
      </top>
      <bottom/>
      <diagonal/>
    </border>
    <border>
      <left style="thin">
        <color auto="1"/>
      </left>
      <right/>
      <top style="medium">
        <color indexed="64"/>
      </top>
      <bottom style="thin">
        <color auto="1"/>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medium">
        <color rgb="FF800000"/>
      </left>
      <right/>
      <top style="medium">
        <color rgb="FF800000"/>
      </top>
      <bottom/>
      <diagonal/>
    </border>
    <border>
      <left/>
      <right/>
      <top style="medium">
        <color rgb="FF800000"/>
      </top>
      <bottom/>
      <diagonal/>
    </border>
    <border>
      <left/>
      <right style="medium">
        <color rgb="FF800000"/>
      </right>
      <top style="medium">
        <color rgb="FF800000"/>
      </top>
      <bottom/>
      <diagonal/>
    </border>
    <border>
      <left style="medium">
        <color rgb="FF800000"/>
      </left>
      <right/>
      <top/>
      <bottom/>
      <diagonal/>
    </border>
    <border>
      <left/>
      <right style="medium">
        <color rgb="FF800000"/>
      </right>
      <top/>
      <bottom/>
      <diagonal/>
    </border>
    <border>
      <left style="medium">
        <color rgb="FF800000"/>
      </left>
      <right/>
      <top/>
      <bottom style="medium">
        <color rgb="FF800000"/>
      </bottom>
      <diagonal/>
    </border>
    <border>
      <left/>
      <right/>
      <top/>
      <bottom style="medium">
        <color rgb="FF800000"/>
      </bottom>
      <diagonal/>
    </border>
    <border>
      <left/>
      <right style="medium">
        <color rgb="FF800000"/>
      </right>
      <top/>
      <bottom style="medium">
        <color rgb="FF800000"/>
      </bottom>
      <diagonal/>
    </border>
    <border>
      <left style="dashed">
        <color auto="1"/>
      </left>
      <right/>
      <top style="hair">
        <color auto="1"/>
      </top>
      <bottom/>
      <diagonal/>
    </border>
    <border>
      <left style="medium">
        <color indexed="64"/>
      </left>
      <right/>
      <top style="thin">
        <color auto="1"/>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ck">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ck">
        <color rgb="FFFF0000"/>
      </left>
      <right/>
      <top/>
      <bottom/>
      <diagonal/>
    </border>
    <border>
      <left style="medium">
        <color indexed="64"/>
      </left>
      <right style="thin">
        <color indexed="64"/>
      </right>
      <top style="double">
        <color indexed="64"/>
      </top>
      <bottom style="thin">
        <color indexed="64"/>
      </bottom>
      <diagonal/>
    </border>
    <border>
      <left/>
      <right style="medium">
        <color indexed="64"/>
      </right>
      <top style="thin">
        <color auto="1"/>
      </top>
      <bottom style="medium">
        <color indexed="64"/>
      </bottom>
      <diagonal/>
    </border>
    <border>
      <left style="thin">
        <color indexed="64"/>
      </left>
      <right style="thin">
        <color indexed="64"/>
      </right>
      <top/>
      <bottom/>
      <diagonal/>
    </border>
  </borders>
  <cellStyleXfs count="11">
    <xf numFmtId="0" fontId="0" fillId="0" borderId="0"/>
    <xf numFmtId="0" fontId="17" fillId="0" borderId="0"/>
    <xf numFmtId="9" fontId="23" fillId="0" borderId="0" applyFont="0" applyFill="0" applyBorder="0" applyAlignment="0" applyProtection="0"/>
    <xf numFmtId="0" fontId="27" fillId="0" borderId="0" applyNumberFormat="0" applyFill="0" applyBorder="0" applyAlignment="0" applyProtection="0"/>
    <xf numFmtId="0" fontId="18" fillId="0" borderId="0"/>
    <xf numFmtId="0" fontId="40" fillId="0" borderId="0">
      <alignment horizontal="center"/>
    </xf>
    <xf numFmtId="0" fontId="40" fillId="0" borderId="0">
      <alignment horizontal="center" textRotation="90"/>
    </xf>
    <xf numFmtId="166" fontId="18" fillId="0" borderId="0" applyFont="0" applyFill="0" applyBorder="0" applyAlignment="0" applyProtection="0"/>
    <xf numFmtId="9" fontId="18" fillId="0" borderId="0" applyFont="0" applyFill="0" applyBorder="0" applyAlignment="0" applyProtection="0"/>
    <xf numFmtId="0" fontId="41" fillId="0" borderId="0"/>
    <xf numFmtId="167" fontId="41" fillId="0" borderId="0"/>
  </cellStyleXfs>
  <cellXfs count="1209">
    <xf numFmtId="0" fontId="0" fillId="0" borderId="0" xfId="0"/>
    <xf numFmtId="0" fontId="1" fillId="2" borderId="0" xfId="0" applyFont="1" applyFill="1"/>
    <xf numFmtId="0" fontId="2" fillId="0" borderId="0" xfId="0" applyFont="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0" xfId="0" applyBorder="1" applyAlignment="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4" fillId="0" borderId="0" xfId="0" quotePrefix="1" applyFont="1" applyBorder="1"/>
    <xf numFmtId="0" fontId="0" fillId="0" borderId="24" xfId="0" applyBorder="1"/>
    <xf numFmtId="0" fontId="0" fillId="0" borderId="25" xfId="0" applyBorder="1"/>
    <xf numFmtId="0" fontId="0" fillId="0" borderId="26" xfId="0" applyBorder="1"/>
    <xf numFmtId="0" fontId="0" fillId="0" borderId="34" xfId="0" applyBorder="1" applyAlignment="1"/>
    <xf numFmtId="0" fontId="0" fillId="0" borderId="23" xfId="0" applyBorder="1" applyAlignment="1">
      <alignment vertical="top"/>
    </xf>
    <xf numFmtId="0" fontId="0" fillId="3" borderId="0" xfId="0" applyFill="1"/>
    <xf numFmtId="0" fontId="5" fillId="0" borderId="0" xfId="0" applyFont="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0" xfId="0" applyAlignment="1">
      <alignment horizontal="center"/>
    </xf>
    <xf numFmtId="0" fontId="0" fillId="0" borderId="1" xfId="0" applyBorder="1" applyAlignment="1">
      <alignment horizontal="center"/>
    </xf>
    <xf numFmtId="0" fontId="3" fillId="0" borderId="0" xfId="0" applyFont="1" applyBorder="1" applyAlignment="1">
      <alignment horizontal="left"/>
    </xf>
    <xf numFmtId="0" fontId="0" fillId="0" borderId="0" xfId="0" applyFill="1" applyBorder="1"/>
    <xf numFmtId="0" fontId="3" fillId="0" borderId="43" xfId="0" applyFont="1" applyBorder="1"/>
    <xf numFmtId="0" fontId="0" fillId="0" borderId="43" xfId="0" applyBorder="1"/>
    <xf numFmtId="0" fontId="3" fillId="0" borderId="0" xfId="0" applyFont="1" applyBorder="1" applyAlignment="1">
      <alignment horizontal="center"/>
    </xf>
    <xf numFmtId="0" fontId="3" fillId="0" borderId="0" xfId="0" applyFont="1" applyBorder="1"/>
    <xf numFmtId="0" fontId="0" fillId="0" borderId="46" xfId="0" applyBorder="1"/>
    <xf numFmtId="0" fontId="0" fillId="0" borderId="47" xfId="0" applyBorder="1"/>
    <xf numFmtId="0" fontId="0" fillId="0" borderId="48" xfId="0" applyBorder="1"/>
    <xf numFmtId="0" fontId="7" fillId="0" borderId="20" xfId="0" applyFont="1" applyBorder="1"/>
    <xf numFmtId="0" fontId="0" fillId="0" borderId="44" xfId="0" applyBorder="1"/>
    <xf numFmtId="0" fontId="0" fillId="0" borderId="45" xfId="0" applyBorder="1"/>
    <xf numFmtId="0" fontId="8" fillId="0" borderId="0" xfId="0" applyFont="1"/>
    <xf numFmtId="0" fontId="0" fillId="0" borderId="51" xfId="0" applyBorder="1"/>
    <xf numFmtId="0" fontId="0" fillId="0" borderId="53"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0" fontId="0" fillId="0" borderId="62" xfId="0" applyBorder="1"/>
    <xf numFmtId="0" fontId="0" fillId="0" borderId="63" xfId="0" applyBorder="1"/>
    <xf numFmtId="0" fontId="0" fillId="0" borderId="9" xfId="0" applyFill="1" applyBorder="1"/>
    <xf numFmtId="0" fontId="1" fillId="2" borderId="0" xfId="0" applyFont="1" applyFill="1" applyAlignment="1">
      <alignment horizontal="center"/>
    </xf>
    <xf numFmtId="0" fontId="0" fillId="0" borderId="64" xfId="0" applyBorder="1"/>
    <xf numFmtId="0" fontId="0" fillId="0" borderId="65" xfId="0" applyBorder="1"/>
    <xf numFmtId="0" fontId="0" fillId="0" borderId="66" xfId="0" applyBorder="1"/>
    <xf numFmtId="0" fontId="3" fillId="0" borderId="62" xfId="0" applyFont="1" applyBorder="1"/>
    <xf numFmtId="0" fontId="3" fillId="0" borderId="66" xfId="0" applyFont="1" applyBorder="1"/>
    <xf numFmtId="0" fontId="6" fillId="0" borderId="0" xfId="0" applyFont="1" applyBorder="1"/>
    <xf numFmtId="0" fontId="0" fillId="0" borderId="25" xfId="0" quotePrefix="1" applyBorder="1"/>
    <xf numFmtId="0" fontId="0" fillId="0" borderId="1" xfId="0" applyBorder="1"/>
    <xf numFmtId="0" fontId="1" fillId="2" borderId="1" xfId="0" applyFont="1" applyFill="1" applyBorder="1"/>
    <xf numFmtId="0" fontId="1" fillId="2" borderId="1" xfId="0" applyFont="1" applyFill="1" applyBorder="1" applyAlignment="1">
      <alignment horizontal="center"/>
    </xf>
    <xf numFmtId="0" fontId="12" fillId="0" borderId="0" xfId="0" applyFont="1"/>
    <xf numFmtId="0" fontId="0" fillId="0" borderId="0" xfId="0" applyFill="1"/>
    <xf numFmtId="0" fontId="3" fillId="0" borderId="0" xfId="0" applyFont="1" applyFill="1" applyBorder="1" applyAlignment="1">
      <alignment horizontal="center"/>
    </xf>
    <xf numFmtId="0" fontId="7" fillId="0" borderId="0" xfId="0" applyFont="1" applyBorder="1"/>
    <xf numFmtId="4" fontId="12" fillId="4" borderId="1" xfId="0" applyNumberFormat="1" applyFont="1" applyFill="1" applyBorder="1"/>
    <xf numFmtId="4" fontId="0" fillId="4" borderId="1" xfId="0" applyNumberFormat="1" applyFill="1" applyBorder="1"/>
    <xf numFmtId="0" fontId="11" fillId="3" borderId="0" xfId="0" applyFont="1" applyFill="1"/>
    <xf numFmtId="0" fontId="1" fillId="3" borderId="0" xfId="0" applyFont="1" applyFill="1"/>
    <xf numFmtId="0" fontId="16" fillId="3" borderId="0" xfId="0" applyFont="1" applyFill="1"/>
    <xf numFmtId="0" fontId="1" fillId="2" borderId="0" xfId="0" applyFont="1" applyFill="1" applyBorder="1" applyAlignment="1">
      <alignment horizontal="center"/>
    </xf>
    <xf numFmtId="0" fontId="0" fillId="0" borderId="0" xfId="0" applyFill="1" applyBorder="1" applyAlignment="1">
      <alignment horizontal="center"/>
    </xf>
    <xf numFmtId="0" fontId="6" fillId="0" borderId="43" xfId="0" applyFont="1" applyBorder="1"/>
    <xf numFmtId="0" fontId="6" fillId="0" borderId="69" xfId="0" applyFont="1" applyBorder="1"/>
    <xf numFmtId="0" fontId="0" fillId="0" borderId="69" xfId="0" applyBorder="1"/>
    <xf numFmtId="0" fontId="0" fillId="0" borderId="70" xfId="0" applyBorder="1"/>
    <xf numFmtId="0" fontId="0" fillId="0" borderId="22" xfId="0" applyFill="1" applyBorder="1"/>
    <xf numFmtId="0" fontId="6" fillId="0" borderId="0" xfId="0" applyFont="1" applyFill="1" applyBorder="1"/>
    <xf numFmtId="0" fontId="0" fillId="0" borderId="23" xfId="0" applyFill="1" applyBorder="1"/>
    <xf numFmtId="0" fontId="0" fillId="0" borderId="54" xfId="0" applyBorder="1"/>
    <xf numFmtId="0" fontId="0" fillId="0" borderId="71" xfId="0" applyBorder="1"/>
    <xf numFmtId="0" fontId="0" fillId="0" borderId="55" xfId="0" applyBorder="1"/>
    <xf numFmtId="0" fontId="0" fillId="0" borderId="52" xfId="0" applyBorder="1"/>
    <xf numFmtId="0" fontId="0" fillId="0" borderId="50" xfId="0" applyBorder="1"/>
    <xf numFmtId="0" fontId="0" fillId="0" borderId="49" xfId="0" applyBorder="1"/>
    <xf numFmtId="0" fontId="4" fillId="0" borderId="0" xfId="0" quotePrefix="1" applyFont="1" applyAlignment="1">
      <alignment vertical="top" wrapText="1"/>
    </xf>
    <xf numFmtId="0" fontId="3" fillId="0" borderId="69" xfId="0" applyFont="1" applyBorder="1"/>
    <xf numFmtId="0" fontId="3" fillId="0" borderId="70" xfId="0" applyFont="1" applyBorder="1"/>
    <xf numFmtId="0" fontId="12" fillId="0" borderId="0" xfId="0" applyFont="1" applyBorder="1"/>
    <xf numFmtId="0" fontId="4" fillId="0" borderId="23" xfId="0" quotePrefix="1" applyFont="1" applyBorder="1" applyAlignment="1">
      <alignment vertical="top" wrapText="1"/>
    </xf>
    <xf numFmtId="0" fontId="0" fillId="0" borderId="0" xfId="0" applyBorder="1" applyAlignment="1">
      <alignment vertical="center"/>
    </xf>
    <xf numFmtId="0" fontId="12" fillId="0" borderId="44" xfId="0" applyFont="1" applyBorder="1"/>
    <xf numFmtId="0" fontId="6" fillId="0" borderId="72" xfId="0" applyFont="1" applyBorder="1"/>
    <xf numFmtId="0" fontId="6" fillId="0" borderId="73" xfId="0" applyFont="1" applyBorder="1"/>
    <xf numFmtId="0" fontId="3" fillId="0" borderId="20" xfId="0" applyFont="1" applyBorder="1"/>
    <xf numFmtId="0" fontId="12" fillId="0" borderId="0" xfId="0" applyFont="1" applyBorder="1" applyAlignment="1">
      <alignment horizontal="center"/>
    </xf>
    <xf numFmtId="0" fontId="0" fillId="0" borderId="0" xfId="0" applyBorder="1" applyAlignment="1">
      <alignment horizontal="center"/>
    </xf>
    <xf numFmtId="0" fontId="12" fillId="0" borderId="0" xfId="0" applyFont="1" applyBorder="1" applyAlignment="1"/>
    <xf numFmtId="0" fontId="0" fillId="0" borderId="0" xfId="0" applyFont="1" applyBorder="1" applyAlignment="1">
      <alignment horizontal="left" vertical="top"/>
    </xf>
    <xf numFmtId="10" fontId="0" fillId="0" borderId="0" xfId="0" applyNumberFormat="1" applyBorder="1"/>
    <xf numFmtId="0" fontId="0" fillId="0" borderId="0" xfId="0" applyNumberFormat="1" applyBorder="1"/>
    <xf numFmtId="9" fontId="0" fillId="0" borderId="0" xfId="0" applyNumberFormat="1" applyBorder="1"/>
    <xf numFmtId="9" fontId="0" fillId="0" borderId="23" xfId="0" applyNumberFormat="1" applyBorder="1"/>
    <xf numFmtId="0" fontId="12" fillId="0" borderId="0" xfId="0" applyFont="1" applyBorder="1" applyAlignment="1">
      <alignment horizontal="center"/>
    </xf>
    <xf numFmtId="0" fontId="4" fillId="0" borderId="0" xfId="0" applyFont="1" applyBorder="1" applyAlignment="1">
      <alignment horizontal="left" vertical="top" wrapText="1"/>
    </xf>
    <xf numFmtId="0" fontId="6" fillId="0" borderId="48" xfId="0" applyFont="1" applyBorder="1"/>
    <xf numFmtId="0" fontId="6" fillId="0" borderId="70" xfId="0" applyFont="1" applyBorder="1"/>
    <xf numFmtId="0" fontId="0" fillId="0" borderId="0" xfId="0" applyFill="1" applyBorder="1" applyAlignment="1">
      <alignment horizontal="center" vertical="center"/>
    </xf>
    <xf numFmtId="0" fontId="0" fillId="0" borderId="18" xfId="0" applyFill="1" applyBorder="1" applyAlignment="1">
      <alignment vertical="center"/>
    </xf>
    <xf numFmtId="0" fontId="0" fillId="0" borderId="0" xfId="0" applyFill="1" applyBorder="1" applyAlignment="1">
      <alignment vertical="center"/>
    </xf>
    <xf numFmtId="0" fontId="6" fillId="0" borderId="44" xfId="0" applyFont="1" applyBorder="1"/>
    <xf numFmtId="0" fontId="6" fillId="0" borderId="46" xfId="0" applyFont="1" applyBorder="1"/>
    <xf numFmtId="0" fontId="6" fillId="0" borderId="45" xfId="0" applyFont="1" applyBorder="1"/>
    <xf numFmtId="0" fontId="6" fillId="0" borderId="47" xfId="0" applyFont="1" applyBorder="1"/>
    <xf numFmtId="0" fontId="3" fillId="0" borderId="44" xfId="0" applyFont="1" applyBorder="1"/>
    <xf numFmtId="0" fontId="12" fillId="0" borderId="0" xfId="0" applyFont="1" applyBorder="1" applyAlignment="1">
      <alignment horizontal="center"/>
    </xf>
    <xf numFmtId="0" fontId="6" fillId="0" borderId="89" xfId="0" applyFont="1" applyBorder="1"/>
    <xf numFmtId="0" fontId="3" fillId="0" borderId="45" xfId="0" applyFont="1" applyBorder="1"/>
    <xf numFmtId="0" fontId="3" fillId="0" borderId="46" xfId="0" applyFont="1" applyBorder="1"/>
    <xf numFmtId="0" fontId="3" fillId="0" borderId="48" xfId="0" applyFont="1" applyBorder="1"/>
    <xf numFmtId="0" fontId="0" fillId="0" borderId="30" xfId="0" applyBorder="1"/>
    <xf numFmtId="0" fontId="0" fillId="0" borderId="32" xfId="0" applyFill="1" applyBorder="1" applyAlignment="1">
      <alignment horizontal="center"/>
    </xf>
    <xf numFmtId="1" fontId="0" fillId="0" borderId="0" xfId="0" applyNumberFormat="1"/>
    <xf numFmtId="1" fontId="0" fillId="0" borderId="0" xfId="0" applyNumberFormat="1" applyBorder="1"/>
    <xf numFmtId="0" fontId="4" fillId="0" borderId="0" xfId="0" applyFont="1" applyBorder="1" applyAlignment="1">
      <alignment horizontal="left" vertical="top"/>
    </xf>
    <xf numFmtId="0" fontId="9" fillId="0" borderId="0" xfId="0" applyFont="1" applyBorder="1" applyAlignment="1">
      <alignment horizontal="left" vertical="top"/>
    </xf>
    <xf numFmtId="0" fontId="9" fillId="0" borderId="0" xfId="0" applyFont="1" applyBorder="1"/>
    <xf numFmtId="0" fontId="0" fillId="0" borderId="0" xfId="0" applyFill="1" applyBorder="1" applyAlignment="1">
      <alignment horizontal="center"/>
    </xf>
    <xf numFmtId="0" fontId="0" fillId="0" borderId="0" xfId="0" applyFill="1" applyBorder="1" applyAlignment="1">
      <alignment horizontal="center" vertical="center"/>
    </xf>
    <xf numFmtId="1" fontId="3" fillId="0" borderId="0" xfId="0" applyNumberFormat="1" applyFont="1" applyBorder="1" applyAlignment="1">
      <alignment horizontal="center"/>
    </xf>
    <xf numFmtId="1" fontId="0" fillId="0" borderId="0" xfId="0" applyNumberFormat="1" applyBorder="1" applyAlignment="1">
      <alignment horizontal="center"/>
    </xf>
    <xf numFmtId="0" fontId="9" fillId="0" borderId="90" xfId="0" quotePrefix="1" applyFont="1" applyBorder="1"/>
    <xf numFmtId="0" fontId="8" fillId="0" borderId="89" xfId="0" applyFont="1" applyBorder="1"/>
    <xf numFmtId="0" fontId="0" fillId="0" borderId="89" xfId="0" applyBorder="1"/>
    <xf numFmtId="0" fontId="8" fillId="0" borderId="92" xfId="0" applyFont="1" applyBorder="1"/>
    <xf numFmtId="0" fontId="8" fillId="0" borderId="94" xfId="0" applyFont="1" applyBorder="1"/>
    <xf numFmtId="0" fontId="0" fillId="0" borderId="72" xfId="0" applyBorder="1"/>
    <xf numFmtId="4" fontId="0" fillId="0" borderId="0" xfId="0" applyNumberFormat="1" applyFill="1" applyBorder="1"/>
    <xf numFmtId="4" fontId="0" fillId="0" borderId="0" xfId="0" applyNumberFormat="1" applyBorder="1"/>
    <xf numFmtId="0" fontId="4" fillId="0" borderId="0" xfId="0" quotePrefix="1" applyFont="1" applyBorder="1" applyAlignment="1">
      <alignment vertical="top" wrapText="1"/>
    </xf>
    <xf numFmtId="0" fontId="4" fillId="0" borderId="0" xfId="0" quotePrefix="1" applyFont="1" applyBorder="1" applyAlignment="1">
      <alignment vertical="top"/>
    </xf>
    <xf numFmtId="0" fontId="0" fillId="0" borderId="49" xfId="0" applyBorder="1" applyAlignment="1"/>
    <xf numFmtId="0" fontId="1" fillId="0" borderId="0" xfId="0" applyFont="1" applyFill="1" applyBorder="1" applyAlignment="1">
      <alignment horizontal="center"/>
    </xf>
    <xf numFmtId="0" fontId="1" fillId="0" borderId="0" xfId="0" applyFont="1" applyFill="1" applyBorder="1" applyAlignment="1">
      <alignment vertical="center" textRotation="180"/>
    </xf>
    <xf numFmtId="0" fontId="0" fillId="0" borderId="0" xfId="0" applyBorder="1" applyAlignment="1">
      <alignment horizontal="center" vertical="center"/>
    </xf>
    <xf numFmtId="0" fontId="0" fillId="0" borderId="53"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0" fillId="0" borderId="79" xfId="0" applyBorder="1"/>
    <xf numFmtId="0" fontId="0" fillId="0" borderId="79" xfId="0" applyBorder="1" applyAlignment="1">
      <alignment horizontal="center"/>
    </xf>
    <xf numFmtId="0" fontId="0" fillId="0" borderId="49" xfId="0" applyFill="1" applyBorder="1"/>
    <xf numFmtId="0" fontId="0" fillId="0" borderId="97" xfId="0" applyBorder="1"/>
    <xf numFmtId="10" fontId="0" fillId="0" borderId="0" xfId="0" applyNumberFormat="1" applyFill="1" applyBorder="1" applyAlignment="1">
      <alignment horizontal="center"/>
    </xf>
    <xf numFmtId="0" fontId="3" fillId="0" borderId="0" xfId="0" applyFont="1" applyFill="1" applyBorder="1"/>
    <xf numFmtId="0" fontId="3" fillId="0" borderId="43" xfId="0" applyFont="1" applyFill="1" applyBorder="1"/>
    <xf numFmtId="10" fontId="0" fillId="0" borderId="43" xfId="0" applyNumberFormat="1" applyFill="1" applyBorder="1" applyAlignment="1">
      <alignment horizontal="center"/>
    </xf>
    <xf numFmtId="10" fontId="0" fillId="0" borderId="48" xfId="0" applyNumberFormat="1" applyFill="1" applyBorder="1" applyAlignment="1">
      <alignment horizontal="center"/>
    </xf>
    <xf numFmtId="0" fontId="6" fillId="0" borderId="44" xfId="0" applyFont="1" applyFill="1" applyBorder="1"/>
    <xf numFmtId="4" fontId="0" fillId="0" borderId="85" xfId="0" applyNumberFormat="1" applyFill="1" applyBorder="1" applyAlignment="1">
      <alignment horizontal="center"/>
    </xf>
    <xf numFmtId="0" fontId="4" fillId="0" borderId="0" xfId="0" applyFont="1" applyBorder="1"/>
    <xf numFmtId="0" fontId="1" fillId="2" borderId="79" xfId="0" applyFont="1" applyFill="1" applyBorder="1" applyAlignment="1">
      <alignment horizontal="center"/>
    </xf>
    <xf numFmtId="0" fontId="3" fillId="0" borderId="90" xfId="0" applyFont="1" applyBorder="1"/>
    <xf numFmtId="0" fontId="0" fillId="0" borderId="92" xfId="0" applyBorder="1"/>
    <xf numFmtId="0" fontId="0" fillId="0" borderId="93" xfId="0" applyBorder="1"/>
    <xf numFmtId="0" fontId="0" fillId="0" borderId="94" xfId="0" applyBorder="1"/>
    <xf numFmtId="0" fontId="0" fillId="0" borderId="91" xfId="0" applyBorder="1"/>
    <xf numFmtId="0" fontId="0" fillId="0" borderId="95" xfId="0" applyBorder="1"/>
    <xf numFmtId="0" fontId="12" fillId="0" borderId="43" xfId="0" applyFont="1" applyBorder="1"/>
    <xf numFmtId="0" fontId="6" fillId="0" borderId="0" xfId="0" applyFont="1"/>
    <xf numFmtId="0" fontId="0" fillId="0" borderId="0" xfId="0" quotePrefix="1"/>
    <xf numFmtId="0" fontId="6" fillId="0" borderId="69" xfId="0" applyFont="1" applyFill="1" applyBorder="1"/>
    <xf numFmtId="4" fontId="0" fillId="0" borderId="0" xfId="0" applyNumberFormat="1" applyFill="1" applyBorder="1" applyAlignment="1">
      <alignment horizontal="center"/>
    </xf>
    <xf numFmtId="0" fontId="6" fillId="0" borderId="43" xfId="0" applyFont="1" applyFill="1" applyBorder="1"/>
    <xf numFmtId="0" fontId="26" fillId="0" borderId="58" xfId="0" applyFont="1" applyBorder="1"/>
    <xf numFmtId="0" fontId="4" fillId="0" borderId="0" xfId="0" applyFont="1"/>
    <xf numFmtId="0" fontId="4" fillId="0" borderId="0" xfId="0" applyFont="1" applyFill="1" applyBorder="1" applyAlignment="1">
      <alignment horizontal="center" vertical="center"/>
    </xf>
    <xf numFmtId="0" fontId="0" fillId="0" borderId="0" xfId="0" applyFill="1" applyBorder="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1" fillId="2" borderId="0" xfId="0" applyFont="1" applyFill="1" applyBorder="1" applyAlignment="1">
      <alignment horizontal="center"/>
    </xf>
    <xf numFmtId="0" fontId="0" fillId="0" borderId="0" xfId="0" applyBorder="1" applyAlignment="1" applyProtection="1">
      <alignment horizontal="left"/>
      <protection locked="0"/>
    </xf>
    <xf numFmtId="0" fontId="0" fillId="0" borderId="0" xfId="0" applyBorder="1" applyAlignment="1" applyProtection="1">
      <alignment vertical="top"/>
      <protection locked="0"/>
    </xf>
    <xf numFmtId="0" fontId="0" fillId="0" borderId="25" xfId="0" applyBorder="1" applyAlignment="1" applyProtection="1">
      <alignment vertical="top"/>
      <protection locked="0"/>
    </xf>
    <xf numFmtId="0" fontId="0" fillId="0" borderId="28" xfId="0" applyBorder="1"/>
    <xf numFmtId="0" fontId="0" fillId="0" borderId="0" xfId="0" applyBorder="1" applyAlignment="1" applyProtection="1">
      <alignment horizontal="center"/>
      <protection locked="0"/>
    </xf>
    <xf numFmtId="0" fontId="0" fillId="0" borderId="23" xfId="0" applyBorder="1" applyAlignment="1"/>
    <xf numFmtId="0" fontId="0" fillId="0" borderId="45" xfId="0" applyBorder="1" applyAlignment="1"/>
    <xf numFmtId="0" fontId="0" fillId="0" borderId="44" xfId="0" applyBorder="1" applyAlignment="1"/>
    <xf numFmtId="0" fontId="4" fillId="0" borderId="20" xfId="0" applyFont="1" applyBorder="1"/>
    <xf numFmtId="0" fontId="12" fillId="0" borderId="43" xfId="0" applyFont="1" applyFill="1" applyBorder="1"/>
    <xf numFmtId="0" fontId="12" fillId="0" borderId="48" xfId="0" applyFont="1" applyBorder="1"/>
    <xf numFmtId="0" fontId="12" fillId="0" borderId="69" xfId="0" applyFont="1" applyFill="1" applyBorder="1"/>
    <xf numFmtId="0" fontId="12" fillId="0" borderId="69" xfId="0" applyFont="1" applyBorder="1"/>
    <xf numFmtId="0" fontId="12" fillId="0" borderId="70" xfId="0" applyFont="1" applyBorder="1"/>
    <xf numFmtId="0" fontId="0" fillId="0" borderId="0" xfId="0" applyFill="1" applyBorder="1" applyAlignment="1">
      <alignment horizontal="center"/>
    </xf>
    <xf numFmtId="0" fontId="0" fillId="0" borderId="32" xfId="0" applyFill="1" applyBorder="1" applyAlignment="1">
      <alignment horizontal="center"/>
    </xf>
    <xf numFmtId="0" fontId="0" fillId="0" borderId="0" xfId="0" applyFill="1" applyBorder="1" applyAlignment="1">
      <alignment horizontal="center" vertical="center"/>
    </xf>
    <xf numFmtId="0" fontId="0" fillId="0" borderId="44" xfId="0" applyFill="1" applyBorder="1"/>
    <xf numFmtId="0" fontId="0" fillId="0" borderId="46" xfId="0" applyFill="1" applyBorder="1"/>
    <xf numFmtId="0" fontId="6" fillId="0" borderId="45" xfId="0" applyFont="1" applyFill="1" applyBorder="1"/>
    <xf numFmtId="0" fontId="4" fillId="0" borderId="45" xfId="0" applyFont="1" applyBorder="1"/>
    <xf numFmtId="0" fontId="0" fillId="0" borderId="0" xfId="0" applyNumberFormat="1" applyFill="1" applyBorder="1" applyAlignment="1">
      <alignment horizontal="center"/>
    </xf>
    <xf numFmtId="4" fontId="0" fillId="0" borderId="43" xfId="0" applyNumberFormat="1" applyFill="1" applyBorder="1" applyAlignment="1">
      <alignment horizontal="center"/>
    </xf>
    <xf numFmtId="0" fontId="0" fillId="0" borderId="99" xfId="0" applyBorder="1"/>
    <xf numFmtId="0" fontId="0" fillId="0" borderId="99" xfId="0" applyBorder="1" applyAlignment="1">
      <alignment horizontal="center" vertical="center"/>
    </xf>
    <xf numFmtId="0" fontId="0" fillId="0" borderId="98" xfId="0" applyBorder="1" applyAlignment="1">
      <alignment horizontal="center" vertical="center"/>
    </xf>
    <xf numFmtId="0" fontId="4" fillId="0" borderId="0" xfId="0" applyFont="1" applyFill="1" applyBorder="1"/>
    <xf numFmtId="0" fontId="3" fillId="0" borderId="69" xfId="0" applyFont="1" applyFill="1" applyBorder="1"/>
    <xf numFmtId="0" fontId="0" fillId="0" borderId="0" xfId="0" applyFont="1" applyBorder="1"/>
    <xf numFmtId="0" fontId="0" fillId="0" borderId="0" xfId="0" applyFont="1"/>
    <xf numFmtId="0" fontId="0" fillId="0" borderId="44" xfId="0" applyFont="1" applyBorder="1"/>
    <xf numFmtId="0" fontId="0" fillId="0" borderId="45" xfId="0" applyFont="1" applyBorder="1"/>
    <xf numFmtId="0" fontId="12" fillId="0" borderId="0" xfId="0" applyFont="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Border="1" applyAlignment="1">
      <alignment horizontal="left" vertical="top" wrapText="1"/>
    </xf>
    <xf numFmtId="0" fontId="1" fillId="2" borderId="0" xfId="0" applyFont="1" applyFill="1" applyBorder="1" applyAlignment="1">
      <alignment horizontal="center"/>
    </xf>
    <xf numFmtId="0" fontId="6" fillId="0" borderId="0" xfId="0" applyFont="1" applyBorder="1" applyAlignment="1">
      <alignment horizontal="center"/>
    </xf>
    <xf numFmtId="0" fontId="1" fillId="2" borderId="0" xfId="0" applyFont="1" applyFill="1" applyBorder="1" applyAlignment="1">
      <alignment horizontal="center"/>
    </xf>
    <xf numFmtId="0" fontId="0" fillId="0" borderId="43" xfId="0" applyFill="1" applyBorder="1" applyAlignment="1">
      <alignment horizontal="center"/>
    </xf>
    <xf numFmtId="0" fontId="4" fillId="0" borderId="43" xfId="0" applyFont="1" applyFill="1" applyBorder="1" applyAlignment="1">
      <alignment horizontal="center" vertical="center"/>
    </xf>
    <xf numFmtId="0" fontId="0" fillId="0" borderId="48" xfId="0" applyFill="1" applyBorder="1" applyAlignment="1">
      <alignment horizontal="center" vertical="center"/>
    </xf>
    <xf numFmtId="0" fontId="0" fillId="0" borderId="48" xfId="0" applyFill="1" applyBorder="1" applyAlignment="1">
      <alignment horizontal="center"/>
    </xf>
    <xf numFmtId="0" fontId="0" fillId="0" borderId="45" xfId="0" applyBorder="1" applyAlignment="1">
      <alignment vertical="top"/>
    </xf>
    <xf numFmtId="0" fontId="26" fillId="0" borderId="0" xfId="0" applyFont="1" applyBorder="1"/>
    <xf numFmtId="0" fontId="4" fillId="0" borderId="43" xfId="0" applyFont="1" applyBorder="1"/>
    <xf numFmtId="0" fontId="0" fillId="0" borderId="0" xfId="0" applyFill="1" applyBorder="1" applyAlignment="1">
      <alignment horizontal="left" wrapText="1"/>
    </xf>
    <xf numFmtId="0" fontId="0" fillId="0" borderId="109" xfId="0" applyBorder="1"/>
    <xf numFmtId="0" fontId="0" fillId="0" borderId="0" xfId="0" quotePrefix="1" applyBorder="1"/>
    <xf numFmtId="0" fontId="29" fillId="0" borderId="0" xfId="0" applyFont="1" applyBorder="1"/>
    <xf numFmtId="1" fontId="31" fillId="0" borderId="0" xfId="0" applyNumberFormat="1" applyFont="1" applyBorder="1" applyAlignment="1">
      <alignment horizontal="center"/>
    </xf>
    <xf numFmtId="2" fontId="0" fillId="9" borderId="101" xfId="0" applyNumberFormat="1" applyFill="1" applyBorder="1" applyAlignment="1">
      <alignment horizontal="center" vertical="center"/>
    </xf>
    <xf numFmtId="2" fontId="0" fillId="9" borderId="68" xfId="0" applyNumberFormat="1" applyFill="1" applyBorder="1" applyAlignment="1">
      <alignment horizontal="center" vertical="center"/>
    </xf>
    <xf numFmtId="2" fontId="0" fillId="9" borderId="32" xfId="0" applyNumberFormat="1" applyFill="1" applyBorder="1" applyAlignment="1">
      <alignment horizontal="center" vertical="center"/>
    </xf>
    <xf numFmtId="2" fontId="0" fillId="9" borderId="102" xfId="0" applyNumberFormat="1" applyFill="1" applyBorder="1" applyAlignment="1">
      <alignment horizontal="center" vertical="center"/>
    </xf>
    <xf numFmtId="2" fontId="0" fillId="9" borderId="79" xfId="0" applyNumberFormat="1" applyFill="1" applyBorder="1" applyAlignment="1">
      <alignment horizontal="center" vertical="center"/>
    </xf>
    <xf numFmtId="2" fontId="0" fillId="9" borderId="85" xfId="0" applyNumberFormat="1" applyFill="1" applyBorder="1" applyAlignment="1">
      <alignment horizontal="center" vertical="center"/>
    </xf>
    <xf numFmtId="2" fontId="0" fillId="9" borderId="103" xfId="0" applyNumberFormat="1" applyFill="1" applyBorder="1" applyAlignment="1">
      <alignment horizontal="center" vertical="center"/>
    </xf>
    <xf numFmtId="2" fontId="0" fillId="9" borderId="76" xfId="0" applyNumberFormat="1" applyFill="1" applyBorder="1" applyAlignment="1">
      <alignment horizontal="center" vertical="center"/>
    </xf>
    <xf numFmtId="2" fontId="0" fillId="9" borderId="105" xfId="0" applyNumberFormat="1"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50" xfId="0" applyFill="1" applyBorder="1" applyAlignment="1">
      <alignment horizontal="center" vertical="center"/>
    </xf>
    <xf numFmtId="0" fontId="0" fillId="0" borderId="49" xfId="0" applyFill="1" applyBorder="1" applyAlignment="1">
      <alignment horizontal="center" vertical="center"/>
    </xf>
    <xf numFmtId="0" fontId="0" fillId="0" borderId="51" xfId="0" applyFill="1" applyBorder="1" applyAlignment="1">
      <alignment horizontal="center" vertical="center"/>
    </xf>
    <xf numFmtId="0" fontId="0" fillId="0" borderId="100" xfId="0" applyFill="1" applyBorder="1" applyAlignment="1">
      <alignment horizontal="center" vertical="center"/>
    </xf>
    <xf numFmtId="0" fontId="0" fillId="0" borderId="99" xfId="0" applyFill="1" applyBorder="1" applyAlignment="1">
      <alignment horizontal="center" vertical="center"/>
    </xf>
    <xf numFmtId="0" fontId="0" fillId="0" borderId="98" xfId="0" applyFill="1" applyBorder="1" applyAlignment="1">
      <alignment horizontal="center" vertical="center"/>
    </xf>
    <xf numFmtId="4" fontId="0" fillId="0" borderId="0" xfId="0" applyNumberFormat="1"/>
    <xf numFmtId="0" fontId="16" fillId="3" borderId="0" xfId="0" applyFont="1" applyFill="1" applyAlignment="1">
      <alignment horizontal="right"/>
    </xf>
    <xf numFmtId="0" fontId="0" fillId="0" borderId="0" xfId="0" applyBorder="1" applyAlignment="1">
      <alignment horizontal="right"/>
    </xf>
    <xf numFmtId="0" fontId="0" fillId="0" borderId="115" xfId="0" applyBorder="1"/>
    <xf numFmtId="2" fontId="0" fillId="0" borderId="0" xfId="0" applyNumberFormat="1" applyBorder="1" applyAlignment="1">
      <alignment horizontal="center"/>
    </xf>
    <xf numFmtId="2" fontId="0" fillId="0" borderId="116" xfId="0" applyNumberFormat="1" applyBorder="1" applyAlignment="1">
      <alignment horizontal="center"/>
    </xf>
    <xf numFmtId="0" fontId="0" fillId="0" borderId="117" xfId="0" applyBorder="1"/>
    <xf numFmtId="2" fontId="0" fillId="0" borderId="118" xfId="0" applyNumberFormat="1" applyBorder="1" applyAlignment="1">
      <alignment horizontal="center"/>
    </xf>
    <xf numFmtId="2" fontId="0" fillId="0" borderId="119" xfId="0" applyNumberFormat="1" applyBorder="1" applyAlignment="1">
      <alignment horizontal="center"/>
    </xf>
    <xf numFmtId="2" fontId="0" fillId="0" borderId="53" xfId="0" applyNumberFormat="1" applyBorder="1" applyAlignment="1">
      <alignment horizontal="center"/>
    </xf>
    <xf numFmtId="2" fontId="0" fillId="0" borderId="126" xfId="0" applyNumberFormat="1" applyBorder="1" applyAlignment="1">
      <alignment horizontal="center"/>
    </xf>
    <xf numFmtId="0" fontId="0" fillId="0" borderId="118" xfId="0" applyBorder="1"/>
    <xf numFmtId="0" fontId="0" fillId="0" borderId="127" xfId="0" applyBorder="1"/>
    <xf numFmtId="0" fontId="32" fillId="13" borderId="113" xfId="0" applyFont="1" applyFill="1" applyBorder="1" applyAlignment="1">
      <alignment horizontal="center" vertical="center"/>
    </xf>
    <xf numFmtId="0" fontId="32" fillId="13" borderId="75" xfId="0" applyFont="1" applyFill="1" applyBorder="1" applyAlignment="1">
      <alignment horizontal="center" vertical="center" wrapText="1"/>
    </xf>
    <xf numFmtId="0" fontId="32" fillId="13" borderId="123" xfId="0" applyFont="1" applyFill="1" applyBorder="1" applyAlignment="1">
      <alignment horizontal="center" vertical="center" wrapText="1"/>
    </xf>
    <xf numFmtId="0" fontId="32" fillId="14" borderId="122" xfId="0" applyFont="1" applyFill="1" applyBorder="1" applyAlignment="1">
      <alignment horizontal="center" vertical="center"/>
    </xf>
    <xf numFmtId="0" fontId="32" fillId="14" borderId="75" xfId="0" applyFont="1" applyFill="1" applyBorder="1" applyAlignment="1">
      <alignment horizontal="center" vertical="center" wrapText="1"/>
    </xf>
    <xf numFmtId="0" fontId="32" fillId="14" borderId="114" xfId="0" applyFont="1" applyFill="1" applyBorder="1" applyAlignment="1">
      <alignment horizontal="center" vertical="center" wrapText="1"/>
    </xf>
    <xf numFmtId="0" fontId="6" fillId="0" borderId="115" xfId="0" applyFont="1" applyBorder="1"/>
    <xf numFmtId="0" fontId="6" fillId="0" borderId="52" xfId="0" applyFont="1" applyBorder="1"/>
    <xf numFmtId="0" fontId="6" fillId="0" borderId="117" xfId="0" applyFont="1" applyBorder="1"/>
    <xf numFmtId="0" fontId="6" fillId="0" borderId="118" xfId="0" applyFont="1" applyBorder="1"/>
    <xf numFmtId="0" fontId="6" fillId="0" borderId="127" xfId="0" applyFont="1" applyBorder="1"/>
    <xf numFmtId="0" fontId="36" fillId="16" borderId="113" xfId="0" applyFont="1" applyFill="1" applyBorder="1" applyAlignment="1">
      <alignment horizontal="center" vertical="center"/>
    </xf>
    <xf numFmtId="0" fontId="36" fillId="16" borderId="75" xfId="0" applyFont="1" applyFill="1" applyBorder="1" applyAlignment="1">
      <alignment horizontal="center" vertical="center" wrapText="1"/>
    </xf>
    <xf numFmtId="0" fontId="36" fillId="16" borderId="123" xfId="0" applyFont="1" applyFill="1" applyBorder="1" applyAlignment="1">
      <alignment horizontal="center" vertical="center" wrapText="1"/>
    </xf>
    <xf numFmtId="0" fontId="36" fillId="12" borderId="122" xfId="0" applyFont="1" applyFill="1" applyBorder="1" applyAlignment="1">
      <alignment horizontal="center" vertical="center"/>
    </xf>
    <xf numFmtId="0" fontId="36" fillId="12" borderId="75" xfId="0" applyFont="1" applyFill="1" applyBorder="1" applyAlignment="1">
      <alignment horizontal="center" vertical="center" wrapText="1"/>
    </xf>
    <xf numFmtId="0" fontId="36" fillId="12" borderId="114" xfId="0" applyFont="1" applyFill="1" applyBorder="1" applyAlignment="1">
      <alignment horizontal="center" vertical="center" wrapText="1"/>
    </xf>
    <xf numFmtId="0" fontId="0" fillId="0" borderId="0" xfId="0" applyFont="1" applyAlignment="1">
      <alignment horizontal="center"/>
    </xf>
    <xf numFmtId="2" fontId="0" fillId="0" borderId="79" xfId="0" applyNumberFormat="1" applyFont="1" applyBorder="1" applyAlignment="1">
      <alignment horizontal="center"/>
    </xf>
    <xf numFmtId="2" fontId="0" fillId="0" borderId="68" xfId="0" applyNumberFormat="1" applyFont="1" applyBorder="1" applyAlignment="1">
      <alignment horizontal="center"/>
    </xf>
    <xf numFmtId="2" fontId="0" fillId="0" borderId="107" xfId="0" applyNumberFormat="1" applyFont="1" applyBorder="1" applyAlignment="1">
      <alignment horizontal="center"/>
    </xf>
    <xf numFmtId="2" fontId="0" fillId="0" borderId="86" xfId="0" applyNumberFormat="1" applyFont="1" applyBorder="1" applyAlignment="1">
      <alignment horizontal="center"/>
    </xf>
    <xf numFmtId="2" fontId="0" fillId="0" borderId="128" xfId="0" applyNumberFormat="1" applyFont="1" applyBorder="1" applyAlignment="1">
      <alignment horizontal="center"/>
    </xf>
    <xf numFmtId="2" fontId="0" fillId="0" borderId="129" xfId="0" applyNumberFormat="1" applyFont="1" applyBorder="1" applyAlignment="1">
      <alignment horizontal="center"/>
    </xf>
    <xf numFmtId="2" fontId="0" fillId="0" borderId="76" xfId="0" applyNumberFormat="1" applyFont="1" applyBorder="1" applyAlignment="1">
      <alignment horizontal="center"/>
    </xf>
    <xf numFmtId="2" fontId="0" fillId="0" borderId="77" xfId="0" applyNumberFormat="1" applyFont="1" applyBorder="1" applyAlignment="1">
      <alignment horizontal="center"/>
    </xf>
    <xf numFmtId="0" fontId="0" fillId="0" borderId="101" xfId="0" applyFont="1" applyBorder="1" applyAlignment="1">
      <alignment horizontal="center"/>
    </xf>
    <xf numFmtId="0" fontId="0" fillId="0" borderId="68" xfId="0" applyFont="1" applyBorder="1" applyAlignment="1">
      <alignment horizontal="center"/>
    </xf>
    <xf numFmtId="0" fontId="0" fillId="0" borderId="102" xfId="0" applyFont="1" applyBorder="1" applyAlignment="1">
      <alignment horizontal="center"/>
    </xf>
    <xf numFmtId="0" fontId="0" fillId="0" borderId="79" xfId="0" applyFont="1" applyBorder="1" applyAlignment="1">
      <alignment horizontal="center"/>
    </xf>
    <xf numFmtId="0" fontId="0" fillId="0" borderId="104" xfId="0" applyFont="1" applyBorder="1" applyAlignment="1">
      <alignment horizontal="center"/>
    </xf>
    <xf numFmtId="0" fontId="0" fillId="0" borderId="107" xfId="0" applyFont="1" applyBorder="1" applyAlignment="1">
      <alignment horizontal="center"/>
    </xf>
    <xf numFmtId="0" fontId="0" fillId="0" borderId="103" xfId="0" applyFont="1" applyBorder="1" applyAlignment="1">
      <alignment horizontal="center"/>
    </xf>
    <xf numFmtId="0" fontId="0" fillId="0" borderId="76" xfId="0" applyFont="1" applyBorder="1" applyAlignment="1">
      <alignment horizontal="center"/>
    </xf>
    <xf numFmtId="0" fontId="35" fillId="19" borderId="49" xfId="0" applyFont="1" applyFill="1" applyBorder="1" applyAlignment="1">
      <alignment horizontal="center"/>
    </xf>
    <xf numFmtId="0" fontId="35" fillId="20" borderId="49" xfId="0" applyFont="1" applyFill="1" applyBorder="1" applyAlignment="1">
      <alignment horizontal="center"/>
    </xf>
    <xf numFmtId="0" fontId="35" fillId="20" borderId="51" xfId="0" applyFont="1" applyFill="1" applyBorder="1" applyAlignment="1">
      <alignment horizontal="center"/>
    </xf>
    <xf numFmtId="0" fontId="6" fillId="0" borderId="101" xfId="0" applyFont="1" applyBorder="1" applyAlignment="1">
      <alignment horizontal="center"/>
    </xf>
    <xf numFmtId="0" fontId="6" fillId="0" borderId="68" xfId="0" applyFont="1" applyBorder="1" applyAlignment="1">
      <alignment horizontal="center"/>
    </xf>
    <xf numFmtId="0" fontId="6" fillId="0" borderId="102" xfId="0" applyFont="1" applyBorder="1" applyAlignment="1">
      <alignment horizontal="center"/>
    </xf>
    <xf numFmtId="0" fontId="6" fillId="0" borderId="79" xfId="0" applyFont="1" applyBorder="1" applyAlignment="1">
      <alignment horizontal="center"/>
    </xf>
    <xf numFmtId="0" fontId="6" fillId="0" borderId="104" xfId="0" applyFont="1" applyBorder="1" applyAlignment="1">
      <alignment horizontal="center"/>
    </xf>
    <xf numFmtId="0" fontId="6" fillId="0" borderId="107" xfId="0" applyFont="1" applyBorder="1" applyAlignment="1">
      <alignment horizontal="center"/>
    </xf>
    <xf numFmtId="0" fontId="6" fillId="0" borderId="103" xfId="0" applyFont="1" applyBorder="1" applyAlignment="1">
      <alignment horizontal="center"/>
    </xf>
    <xf numFmtId="0" fontId="6" fillId="0" borderId="76" xfId="0" applyFont="1" applyBorder="1" applyAlignment="1">
      <alignment horizontal="center"/>
    </xf>
    <xf numFmtId="0" fontId="37" fillId="7" borderId="49" xfId="0" applyFont="1" applyFill="1" applyBorder="1" applyAlignment="1">
      <alignment horizontal="center"/>
    </xf>
    <xf numFmtId="0" fontId="37" fillId="22" borderId="49" xfId="0" applyFont="1" applyFill="1" applyBorder="1" applyAlignment="1">
      <alignment horizontal="center"/>
    </xf>
    <xf numFmtId="0" fontId="37" fillId="22" borderId="51" xfId="0" applyFont="1" applyFill="1" applyBorder="1" applyAlignment="1">
      <alignment horizontal="center"/>
    </xf>
    <xf numFmtId="2" fontId="0" fillId="0" borderId="79" xfId="0" applyNumberFormat="1" applyBorder="1" applyAlignment="1">
      <alignment horizontal="center"/>
    </xf>
    <xf numFmtId="0" fontId="0" fillId="0" borderId="79" xfId="0" applyFill="1" applyBorder="1"/>
    <xf numFmtId="0" fontId="6" fillId="0" borderId="79" xfId="0" applyFont="1" applyBorder="1"/>
    <xf numFmtId="0" fontId="0" fillId="0" borderId="68" xfId="0" applyBorder="1"/>
    <xf numFmtId="2" fontId="0" fillId="0" borderId="68" xfId="0" applyNumberFormat="1" applyBorder="1" applyAlignment="1">
      <alignment horizontal="center"/>
    </xf>
    <xf numFmtId="0" fontId="0" fillId="0" borderId="107" xfId="0" applyBorder="1"/>
    <xf numFmtId="2" fontId="0" fillId="0" borderId="107" xfId="0" applyNumberFormat="1" applyBorder="1" applyAlignment="1">
      <alignment horizontal="center"/>
    </xf>
    <xf numFmtId="0" fontId="0" fillId="24" borderId="0" xfId="0" applyFill="1" applyBorder="1" applyAlignment="1">
      <alignment horizontal="center"/>
    </xf>
    <xf numFmtId="0" fontId="0" fillId="25" borderId="0" xfId="0" applyFill="1" applyBorder="1" applyAlignment="1">
      <alignment horizontal="center"/>
    </xf>
    <xf numFmtId="0" fontId="16" fillId="27" borderId="0" xfId="0" applyFont="1" applyFill="1" applyBorder="1" applyAlignment="1">
      <alignment horizontal="center"/>
    </xf>
    <xf numFmtId="0" fontId="16" fillId="23" borderId="0" xfId="0" applyFont="1" applyFill="1" applyBorder="1" applyAlignment="1">
      <alignment horizontal="center"/>
    </xf>
    <xf numFmtId="0" fontId="0" fillId="25" borderId="116" xfId="0" applyFill="1" applyBorder="1" applyAlignment="1">
      <alignment horizontal="center"/>
    </xf>
    <xf numFmtId="0" fontId="0" fillId="0" borderId="135" xfId="0" applyBorder="1"/>
    <xf numFmtId="2" fontId="0" fillId="0" borderId="136" xfId="0" applyNumberFormat="1" applyBorder="1" applyAlignment="1">
      <alignment horizontal="center"/>
    </xf>
    <xf numFmtId="0" fontId="0" fillId="0" borderId="137" xfId="0" applyBorder="1"/>
    <xf numFmtId="2" fontId="0" fillId="0" borderId="138" xfId="0" applyNumberFormat="1" applyBorder="1" applyAlignment="1">
      <alignment horizontal="center"/>
    </xf>
    <xf numFmtId="0" fontId="0" fillId="0" borderId="139" xfId="0" applyBorder="1"/>
    <xf numFmtId="2" fontId="0" fillId="0" borderId="140" xfId="0" applyNumberFormat="1" applyBorder="1" applyAlignment="1">
      <alignment horizontal="center"/>
    </xf>
    <xf numFmtId="0" fontId="0" fillId="0" borderId="141" xfId="0" applyBorder="1"/>
    <xf numFmtId="0" fontId="0" fillId="0" borderId="142" xfId="0" applyBorder="1"/>
    <xf numFmtId="2" fontId="0" fillId="0" borderId="142" xfId="0" applyNumberFormat="1" applyBorder="1" applyAlignment="1">
      <alignment horizontal="center"/>
    </xf>
    <xf numFmtId="2" fontId="0" fillId="0" borderId="143" xfId="0" applyNumberFormat="1" applyBorder="1" applyAlignment="1">
      <alignment horizontal="center"/>
    </xf>
    <xf numFmtId="0" fontId="16" fillId="23" borderId="116" xfId="0" applyFont="1" applyFill="1" applyBorder="1" applyAlignment="1">
      <alignment horizontal="center"/>
    </xf>
    <xf numFmtId="0" fontId="6" fillId="0" borderId="135" xfId="0" applyFont="1" applyBorder="1"/>
    <xf numFmtId="0" fontId="6" fillId="0" borderId="137" xfId="0" applyFont="1" applyBorder="1"/>
    <xf numFmtId="0" fontId="6" fillId="0" borderId="107" xfId="0" applyFont="1" applyBorder="1"/>
    <xf numFmtId="0" fontId="6" fillId="0" borderId="139" xfId="0" applyFont="1" applyBorder="1"/>
    <xf numFmtId="0" fontId="6" fillId="0" borderId="68" xfId="0" applyFont="1" applyBorder="1"/>
    <xf numFmtId="0" fontId="6" fillId="0" borderId="79" xfId="0" applyFont="1" applyFill="1" applyBorder="1"/>
    <xf numFmtId="0" fontId="6" fillId="0" borderId="141" xfId="0" applyFont="1" applyBorder="1"/>
    <xf numFmtId="0" fontId="6" fillId="0" borderId="142" xfId="0" applyFont="1" applyBorder="1"/>
    <xf numFmtId="0" fontId="42" fillId="0" borderId="0" xfId="0" applyFont="1"/>
    <xf numFmtId="0" fontId="18" fillId="28" borderId="144" xfId="4" applyFill="1" applyBorder="1" applyAlignment="1"/>
    <xf numFmtId="0" fontId="18" fillId="28" borderId="144" xfId="4" applyFill="1" applyBorder="1" applyAlignment="1">
      <alignment horizontal="center"/>
    </xf>
    <xf numFmtId="0" fontId="39" fillId="0" borderId="144" xfId="4" applyFont="1" applyFill="1" applyBorder="1" applyAlignment="1">
      <alignment horizontal="center"/>
    </xf>
    <xf numFmtId="0" fontId="38" fillId="0" borderId="144" xfId="4" applyFont="1" applyFill="1" applyBorder="1" applyAlignment="1">
      <alignment horizontal="center"/>
    </xf>
    <xf numFmtId="0" fontId="18" fillId="29" borderId="144" xfId="4" applyFill="1" applyBorder="1" applyAlignment="1"/>
    <xf numFmtId="0" fontId="18" fillId="29" borderId="144" xfId="4" applyFill="1" applyBorder="1"/>
    <xf numFmtId="0" fontId="0" fillId="0" borderId="0" xfId="0" applyBorder="1" applyAlignment="1" applyProtection="1">
      <protection locked="0"/>
    </xf>
    <xf numFmtId="0" fontId="0" fillId="0" borderId="0" xfId="0" applyFont="1" applyFill="1" applyAlignment="1">
      <alignment horizontal="center"/>
    </xf>
    <xf numFmtId="0" fontId="37" fillId="0" borderId="0" xfId="0" applyFont="1" applyFill="1" applyBorder="1" applyAlignment="1">
      <alignment horizontal="center" wrapText="1"/>
    </xf>
    <xf numFmtId="0" fontId="33" fillId="0" borderId="0" xfId="0" applyFont="1" applyFill="1" applyBorder="1" applyAlignment="1">
      <alignment horizontal="center"/>
    </xf>
    <xf numFmtId="0" fontId="37" fillId="0" borderId="0" xfId="0" applyFont="1" applyFill="1" applyBorder="1" applyAlignment="1">
      <alignment horizontal="center"/>
    </xf>
    <xf numFmtId="0" fontId="1" fillId="2" borderId="0" xfId="0" applyFont="1" applyFill="1"/>
    <xf numFmtId="0" fontId="0" fillId="0" borderId="79" xfId="0" applyBorder="1"/>
    <xf numFmtId="0" fontId="1" fillId="2" borderId="0" xfId="0" applyFont="1" applyFill="1" applyBorder="1" applyAlignment="1">
      <alignment horizontal="center"/>
    </xf>
    <xf numFmtId="0" fontId="0" fillId="0" borderId="0" xfId="0" applyFont="1"/>
    <xf numFmtId="2" fontId="0" fillId="0" borderId="0" xfId="0" applyNumberFormat="1" applyFont="1" applyFill="1" applyBorder="1" applyAlignment="1">
      <alignment horizontal="center"/>
    </xf>
    <xf numFmtId="0" fontId="0" fillId="0" borderId="0" xfId="0" applyFont="1" applyFill="1" applyAlignment="1">
      <alignment horizontal="left"/>
    </xf>
    <xf numFmtId="0" fontId="33" fillId="0" borderId="0" xfId="0" applyFont="1" applyFill="1" applyBorder="1" applyAlignment="1">
      <alignment horizontal="left"/>
    </xf>
    <xf numFmtId="0" fontId="1" fillId="2" borderId="0" xfId="0" applyFont="1" applyFill="1" applyAlignment="1">
      <alignment horizontal="left"/>
    </xf>
    <xf numFmtId="0" fontId="37" fillId="0" borderId="0" xfId="0" applyFont="1" applyFill="1" applyBorder="1" applyAlignment="1">
      <alignment horizontal="left"/>
    </xf>
    <xf numFmtId="2" fontId="0" fillId="0" borderId="0" xfId="0" applyNumberFormat="1" applyFont="1" applyFill="1" applyBorder="1" applyAlignment="1">
      <alignment horizontal="left"/>
    </xf>
    <xf numFmtId="0" fontId="0" fillId="0" borderId="145" xfId="0" applyBorder="1"/>
    <xf numFmtId="0" fontId="0" fillId="0" borderId="146" xfId="0" applyBorder="1"/>
    <xf numFmtId="0" fontId="0" fillId="0" borderId="147" xfId="0" applyBorder="1"/>
    <xf numFmtId="0" fontId="0" fillId="0" borderId="148" xfId="0" applyBorder="1"/>
    <xf numFmtId="0" fontId="0" fillId="0" borderId="149" xfId="0" applyBorder="1"/>
    <xf numFmtId="4" fontId="0" fillId="5" borderId="144" xfId="0" applyNumberFormat="1" applyFill="1" applyBorder="1"/>
    <xf numFmtId="0" fontId="0" fillId="0" borderId="150" xfId="0" applyBorder="1"/>
    <xf numFmtId="0" fontId="0" fillId="0" borderId="151" xfId="0" applyBorder="1"/>
    <xf numFmtId="0" fontId="0" fillId="0" borderId="152" xfId="0" applyBorder="1"/>
    <xf numFmtId="0" fontId="0" fillId="0" borderId="144" xfId="0" applyBorder="1"/>
    <xf numFmtId="165" fontId="0" fillId="0" borderId="1" xfId="0" applyNumberFormat="1" applyBorder="1" applyAlignment="1" applyProtection="1">
      <alignment horizontal="left"/>
      <protection locked="0"/>
    </xf>
    <xf numFmtId="0" fontId="3" fillId="0" borderId="23" xfId="0" applyFont="1" applyFill="1" applyBorder="1" applyAlignment="1">
      <alignment horizontal="center"/>
    </xf>
    <xf numFmtId="0" fontId="0" fillId="0" borderId="0" xfId="0" applyNumberFormat="1"/>
    <xf numFmtId="0" fontId="12" fillId="0" borderId="0" xfId="0" applyFont="1" applyBorder="1" applyAlignment="1">
      <alignment horizontal="center"/>
    </xf>
    <xf numFmtId="0" fontId="0" fillId="0" borderId="0" xfId="0" applyFill="1" applyBorder="1" applyAlignment="1">
      <alignment horizontal="center" vertical="center"/>
    </xf>
    <xf numFmtId="0" fontId="30" fillId="0" borderId="0" xfId="0" applyFont="1" applyBorder="1" applyAlignment="1">
      <alignment horizontal="center"/>
    </xf>
    <xf numFmtId="0" fontId="0" fillId="0" borderId="0" xfId="0" applyBorder="1" applyAlignment="1">
      <alignment horizontal="right"/>
    </xf>
    <xf numFmtId="0" fontId="1" fillId="2" borderId="0" xfId="0" applyFont="1" applyFill="1" applyBorder="1" applyAlignment="1">
      <alignment horizontal="center"/>
    </xf>
    <xf numFmtId="0" fontId="0" fillId="0" borderId="0" xfId="0" applyAlignment="1">
      <alignment horizontal="center"/>
    </xf>
    <xf numFmtId="10" fontId="6" fillId="0" borderId="43" xfId="0" applyNumberFormat="1" applyFont="1" applyFill="1" applyBorder="1" applyAlignment="1">
      <alignment horizontal="center"/>
    </xf>
    <xf numFmtId="0" fontId="3" fillId="0" borderId="0" xfId="0" applyFont="1"/>
    <xf numFmtId="0" fontId="0" fillId="0" borderId="144" xfId="0" applyBorder="1" applyAlignment="1">
      <alignment horizontal="right"/>
    </xf>
    <xf numFmtId="0" fontId="0" fillId="31" borderId="144" xfId="0" applyFill="1" applyBorder="1"/>
    <xf numFmtId="0" fontId="0" fillId="0" borderId="144" xfId="0" applyBorder="1" applyAlignment="1">
      <alignment horizontal="center"/>
    </xf>
    <xf numFmtId="0" fontId="0" fillId="30" borderId="0" xfId="0" applyFill="1" applyBorder="1" applyAlignment="1">
      <alignment horizontal="center" vertical="center"/>
    </xf>
    <xf numFmtId="0" fontId="0" fillId="30" borderId="53" xfId="0" applyFill="1" applyBorder="1" applyAlignment="1">
      <alignment horizontal="center" vertical="center"/>
    </xf>
    <xf numFmtId="0" fontId="0" fillId="30" borderId="49" xfId="0" applyFill="1" applyBorder="1"/>
    <xf numFmtId="0" fontId="0" fillId="30" borderId="51" xfId="0" applyFill="1" applyBorder="1"/>
    <xf numFmtId="0" fontId="0" fillId="0" borderId="46" xfId="0" applyBorder="1" applyAlignment="1"/>
    <xf numFmtId="4" fontId="6" fillId="5" borderId="144" xfId="0" applyNumberFormat="1" applyFont="1" applyFill="1" applyBorder="1"/>
    <xf numFmtId="0" fontId="0" fillId="0" borderId="157" xfId="0" applyBorder="1" applyAlignment="1">
      <alignment horizontal="center"/>
    </xf>
    <xf numFmtId="0" fontId="0" fillId="0" borderId="157" xfId="0" applyBorder="1"/>
    <xf numFmtId="0" fontId="0" fillId="9" borderId="80" xfId="0" applyFill="1" applyBorder="1" applyAlignment="1"/>
    <xf numFmtId="0" fontId="0" fillId="9" borderId="85" xfId="0" applyFill="1" applyBorder="1" applyAlignment="1"/>
    <xf numFmtId="0" fontId="0" fillId="9" borderId="81" xfId="0" applyFill="1" applyBorder="1" applyAlignment="1"/>
    <xf numFmtId="0" fontId="0" fillId="0" borderId="46" xfId="0" applyFill="1" applyBorder="1" applyAlignment="1"/>
    <xf numFmtId="0" fontId="48" fillId="5" borderId="144" xfId="0" applyFont="1" applyFill="1" applyBorder="1" applyAlignment="1">
      <alignment horizontal="center" vertical="center" wrapText="1"/>
    </xf>
    <xf numFmtId="0" fontId="49" fillId="0" borderId="0" xfId="0" applyFont="1"/>
    <xf numFmtId="49" fontId="38" fillId="33" borderId="144" xfId="0" applyNumberFormat="1" applyFont="1" applyFill="1" applyBorder="1" applyAlignment="1">
      <alignment horizontal="center" vertical="center" wrapText="1"/>
    </xf>
    <xf numFmtId="49" fontId="38" fillId="5" borderId="144" xfId="0" applyNumberFormat="1" applyFont="1" applyFill="1" applyBorder="1" applyAlignment="1">
      <alignment horizontal="center" vertical="center" wrapText="1"/>
    </xf>
    <xf numFmtId="1" fontId="38" fillId="5" borderId="144" xfId="0" applyNumberFormat="1" applyFont="1" applyFill="1" applyBorder="1" applyAlignment="1">
      <alignment horizontal="center" vertical="center" wrapText="1"/>
    </xf>
    <xf numFmtId="168" fontId="38" fillId="5" borderId="144" xfId="0" applyNumberFormat="1" applyFont="1" applyFill="1" applyBorder="1" applyAlignment="1">
      <alignment horizontal="center" vertical="center" wrapText="1"/>
    </xf>
    <xf numFmtId="49" fontId="38" fillId="15" borderId="144" xfId="0" applyNumberFormat="1" applyFont="1" applyFill="1" applyBorder="1" applyAlignment="1">
      <alignment horizontal="center" vertical="center" wrapText="1"/>
    </xf>
    <xf numFmtId="49" fontId="38" fillId="32" borderId="144" xfId="0" applyNumberFormat="1" applyFont="1" applyFill="1" applyBorder="1" applyAlignment="1">
      <alignment horizontal="center" vertical="center" wrapText="1"/>
    </xf>
    <xf numFmtId="1" fontId="38" fillId="32" borderId="144" xfId="0" applyNumberFormat="1" applyFont="1" applyFill="1" applyBorder="1" applyAlignment="1">
      <alignment horizontal="center" vertical="center" wrapText="1"/>
    </xf>
    <xf numFmtId="2" fontId="38" fillId="32" borderId="144" xfId="0" applyNumberFormat="1" applyFont="1" applyFill="1" applyBorder="1" applyAlignment="1">
      <alignment horizontal="center" vertical="center" wrapText="1"/>
    </xf>
    <xf numFmtId="14" fontId="38" fillId="32" borderId="144" xfId="0" applyNumberFormat="1" applyFont="1" applyFill="1" applyBorder="1" applyAlignment="1">
      <alignment horizontal="center" vertical="center" wrapText="1"/>
    </xf>
    <xf numFmtId="1" fontId="38" fillId="33" borderId="144" xfId="0" applyNumberFormat="1" applyFont="1" applyFill="1" applyBorder="1" applyAlignment="1">
      <alignment horizontal="center" vertical="center" wrapText="1"/>
    </xf>
    <xf numFmtId="1" fontId="18" fillId="33" borderId="144" xfId="0" applyNumberFormat="1" applyFont="1" applyFill="1" applyBorder="1" applyAlignment="1">
      <alignment horizontal="center" vertical="center" wrapText="1"/>
    </xf>
    <xf numFmtId="1" fontId="21" fillId="33" borderId="144" xfId="0" applyNumberFormat="1" applyFont="1" applyFill="1" applyBorder="1" applyAlignment="1">
      <alignment horizontal="center" vertical="center" wrapText="1"/>
    </xf>
    <xf numFmtId="10" fontId="0" fillId="0" borderId="69" xfId="0" applyNumberFormat="1" applyFill="1" applyBorder="1" applyAlignment="1">
      <alignment horizontal="center"/>
    </xf>
    <xf numFmtId="10" fontId="0" fillId="0" borderId="70" xfId="0" applyNumberFormat="1" applyFill="1" applyBorder="1" applyAlignment="1">
      <alignment horizontal="center"/>
    </xf>
    <xf numFmtId="0" fontId="0" fillId="0" borderId="0" xfId="0" applyFill="1" applyBorder="1" applyAlignment="1" applyProtection="1">
      <alignment horizontal="center"/>
      <protection locked="0"/>
    </xf>
    <xf numFmtId="0" fontId="6" fillId="0" borderId="43" xfId="0" applyFont="1" applyFill="1" applyBorder="1" applyAlignment="1" applyProtection="1">
      <alignment horizontal="center"/>
      <protection locked="0"/>
    </xf>
    <xf numFmtId="0" fontId="6" fillId="0" borderId="48" xfId="0" applyFont="1" applyFill="1" applyBorder="1" applyAlignment="1" applyProtection="1">
      <alignment horizontal="center"/>
      <protection locked="0"/>
    </xf>
    <xf numFmtId="0" fontId="0" fillId="0" borderId="0" xfId="0" applyFill="1" applyBorder="1" applyAlignment="1"/>
    <xf numFmtId="0" fontId="3" fillId="0" borderId="0" xfId="0" applyFont="1" applyAlignment="1">
      <alignment horizontal="center"/>
    </xf>
    <xf numFmtId="0" fontId="1" fillId="2" borderId="0" xfId="0" applyFont="1" applyFill="1" applyBorder="1" applyAlignment="1">
      <alignment horizontal="center"/>
    </xf>
    <xf numFmtId="0" fontId="0" fillId="0" borderId="0" xfId="0" applyAlignment="1">
      <alignment horizontal="center"/>
    </xf>
    <xf numFmtId="0" fontId="0" fillId="0" borderId="157" xfId="0" applyNumberFormat="1" applyBorder="1" applyAlignment="1">
      <alignment horizontal="center"/>
    </xf>
    <xf numFmtId="0" fontId="6" fillId="0" borderId="0" xfId="0" applyFont="1" applyBorder="1" applyAlignment="1">
      <alignment horizontal="center"/>
    </xf>
    <xf numFmtId="0" fontId="3" fillId="0" borderId="0" xfId="0" applyFont="1" applyBorder="1" applyAlignment="1">
      <alignment horizontal="center"/>
    </xf>
    <xf numFmtId="0" fontId="0" fillId="0" borderId="0" xfId="0" applyFill="1" applyBorder="1" applyAlignment="1">
      <alignment horizontal="center"/>
    </xf>
    <xf numFmtId="0" fontId="30" fillId="0" borderId="0" xfId="0" applyFont="1"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1" fillId="2" borderId="0" xfId="0" applyFont="1" applyFill="1" applyBorder="1" applyAlignment="1">
      <alignment horizontal="center"/>
    </xf>
    <xf numFmtId="0" fontId="50" fillId="0" borderId="0" xfId="0" applyFont="1"/>
    <xf numFmtId="0" fontId="0" fillId="5" borderId="144" xfId="0" applyFill="1" applyBorder="1"/>
    <xf numFmtId="0" fontId="0" fillId="7" borderId="144" xfId="0" applyFill="1" applyBorder="1"/>
    <xf numFmtId="0" fontId="0" fillId="8" borderId="144" xfId="0" applyFill="1" applyBorder="1"/>
    <xf numFmtId="0" fontId="0" fillId="12" borderId="144" xfId="0" applyFill="1" applyBorder="1"/>
    <xf numFmtId="0" fontId="0" fillId="0" borderId="158" xfId="0" applyBorder="1"/>
    <xf numFmtId="0" fontId="0" fillId="0" borderId="159" xfId="0" applyBorder="1"/>
    <xf numFmtId="0" fontId="0" fillId="0" borderId="160" xfId="0" applyBorder="1"/>
    <xf numFmtId="0" fontId="0" fillId="0" borderId="161" xfId="0" applyBorder="1"/>
    <xf numFmtId="0" fontId="0" fillId="0" borderId="162" xfId="0" applyBorder="1"/>
    <xf numFmtId="0" fontId="0" fillId="0" borderId="163" xfId="0" applyBorder="1"/>
    <xf numFmtId="0" fontId="0" fillId="0" borderId="164" xfId="0" applyBorder="1"/>
    <xf numFmtId="0" fontId="0" fillId="0" borderId="165" xfId="0" applyBorder="1"/>
    <xf numFmtId="169" fontId="0" fillId="0" borderId="0" xfId="0" applyNumberFormat="1"/>
    <xf numFmtId="0" fontId="13" fillId="0" borderId="66" xfId="0" applyFont="1" applyBorder="1" applyAlignment="1">
      <alignment horizontal="center"/>
    </xf>
    <xf numFmtId="0" fontId="13" fillId="0" borderId="0" xfId="0" applyFont="1" applyBorder="1" applyAlignment="1">
      <alignment horizontal="center"/>
    </xf>
    <xf numFmtId="4" fontId="0" fillId="0" borderId="28" xfId="0" applyNumberFormat="1" applyFill="1" applyBorder="1"/>
    <xf numFmtId="0" fontId="3" fillId="0" borderId="166" xfId="0" applyFont="1" applyBorder="1"/>
    <xf numFmtId="0" fontId="3" fillId="0" borderId="97" xfId="0" applyFont="1" applyBorder="1"/>
    <xf numFmtId="0" fontId="0" fillId="0" borderId="0" xfId="0" applyBorder="1" applyAlignment="1">
      <alignment horizontal="left" wrapText="1"/>
    </xf>
    <xf numFmtId="0" fontId="6" fillId="0" borderId="0" xfId="0" quotePrefix="1" applyFont="1" applyBorder="1" applyAlignment="1">
      <alignment horizontal="left"/>
    </xf>
    <xf numFmtId="4" fontId="0" fillId="0" borderId="0" xfId="0" applyNumberFormat="1" applyFill="1" applyBorder="1" applyAlignment="1" applyProtection="1">
      <alignment horizontal="center" vertical="center"/>
      <protection locked="0"/>
    </xf>
    <xf numFmtId="4" fontId="0" fillId="0" borderId="0" xfId="0" applyNumberFormat="1" applyFill="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144" xfId="0" applyBorder="1" applyAlignment="1">
      <alignment vertical="center"/>
    </xf>
    <xf numFmtId="4" fontId="3" fillId="0" borderId="0" xfId="0" applyNumberFormat="1" applyFont="1" applyFill="1" applyBorder="1" applyAlignment="1">
      <alignment horizontal="center"/>
    </xf>
    <xf numFmtId="0" fontId="3" fillId="0" borderId="44" xfId="0" applyFont="1" applyFill="1" applyBorder="1"/>
    <xf numFmtId="0" fontId="42" fillId="0" borderId="0" xfId="0" applyFont="1" applyFill="1" applyBorder="1" applyAlignment="1"/>
    <xf numFmtId="0" fontId="12" fillId="0" borderId="0" xfId="0" applyFont="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4" fillId="0" borderId="0" xfId="0" applyFont="1" applyBorder="1" applyAlignment="1">
      <alignment vertical="top"/>
    </xf>
    <xf numFmtId="2" fontId="3" fillId="0" borderId="0" xfId="0" applyNumberFormat="1" applyFont="1" applyFill="1" applyBorder="1" applyAlignment="1">
      <alignment horizontal="center"/>
    </xf>
    <xf numFmtId="2" fontId="1" fillId="0" borderId="0" xfId="0" applyNumberFormat="1" applyFont="1" applyFill="1" applyBorder="1" applyAlignment="1">
      <alignment horizontal="center"/>
    </xf>
    <xf numFmtId="4" fontId="3" fillId="0" borderId="0" xfId="0" applyNumberFormat="1" applyFont="1" applyFill="1" applyBorder="1" applyAlignment="1">
      <alignment horizontal="center" vertical="center"/>
    </xf>
    <xf numFmtId="0" fontId="30" fillId="0" borderId="0" xfId="0" applyFont="1" applyBorder="1" applyAlignment="1">
      <alignment horizontal="center"/>
    </xf>
    <xf numFmtId="0" fontId="6" fillId="0" borderId="0" xfId="0" applyFont="1" applyBorder="1" applyAlignment="1"/>
    <xf numFmtId="0" fontId="4" fillId="0" borderId="0" xfId="0" applyFont="1" applyBorder="1" applyAlignment="1"/>
    <xf numFmtId="0" fontId="51" fillId="0" borderId="0" xfId="0" applyFont="1"/>
    <xf numFmtId="0" fontId="12" fillId="0" borderId="44" xfId="0" applyFont="1" applyFill="1" applyBorder="1" applyAlignment="1"/>
    <xf numFmtId="0" fontId="0" fillId="0" borderId="44" xfId="0" applyFont="1" applyFill="1" applyBorder="1" applyAlignment="1"/>
    <xf numFmtId="0" fontId="12" fillId="0" borderId="46" xfId="0" applyFont="1" applyFill="1" applyBorder="1" applyAlignment="1"/>
    <xf numFmtId="0" fontId="0" fillId="0" borderId="18" xfId="0" applyBorder="1"/>
    <xf numFmtId="0" fontId="0" fillId="0" borderId="144" xfId="0" applyFill="1" applyBorder="1"/>
    <xf numFmtId="0" fontId="30" fillId="0" borderId="0" xfId="0" applyFont="1" applyBorder="1" applyAlignment="1">
      <alignment horizontal="center"/>
    </xf>
    <xf numFmtId="0" fontId="4" fillId="0" borderId="0" xfId="0" applyFont="1" applyBorder="1" applyAlignment="1" applyProtection="1">
      <alignment horizontal="left"/>
      <protection locked="0"/>
    </xf>
    <xf numFmtId="0" fontId="12" fillId="0" borderId="0" xfId="0" applyFont="1" applyBorder="1" applyAlignment="1">
      <alignment horizontal="center"/>
    </xf>
    <xf numFmtId="0" fontId="0" fillId="0" borderId="0" xfId="0" applyBorder="1" applyAlignment="1">
      <alignment horizontal="center" vertical="center"/>
    </xf>
    <xf numFmtId="0" fontId="3" fillId="0" borderId="32" xfId="0" applyFont="1" applyBorder="1" applyAlignment="1">
      <alignment horizontal="center"/>
    </xf>
    <xf numFmtId="0" fontId="0" fillId="0" borderId="0" xfId="0" applyAlignment="1">
      <alignment horizontal="center"/>
    </xf>
    <xf numFmtId="0" fontId="0" fillId="0" borderId="43" xfId="0" applyFont="1" applyBorder="1"/>
    <xf numFmtId="0" fontId="0" fillId="0" borderId="69" xfId="0" applyFont="1" applyBorder="1"/>
    <xf numFmtId="0" fontId="0" fillId="0" borderId="69" xfId="0" applyFill="1" applyBorder="1" applyAlignment="1"/>
    <xf numFmtId="0" fontId="0" fillId="0" borderId="0" xfId="0"/>
    <xf numFmtId="0" fontId="3" fillId="0" borderId="0" xfId="0" applyFont="1"/>
    <xf numFmtId="0" fontId="4" fillId="0" borderId="0" xfId="0" applyFont="1" applyAlignment="1">
      <alignment horizontal="left" vertical="center" wrapText="1"/>
    </xf>
    <xf numFmtId="0" fontId="3" fillId="0" borderId="52" xfId="0" applyFont="1" applyBorder="1"/>
    <xf numFmtId="0" fontId="0" fillId="0" borderId="53" xfId="0" applyFont="1" applyBorder="1"/>
    <xf numFmtId="0" fontId="3" fillId="0" borderId="50" xfId="0" applyFont="1" applyBorder="1"/>
    <xf numFmtId="0" fontId="0" fillId="0" borderId="51" xfId="0" applyFont="1" applyBorder="1"/>
    <xf numFmtId="0" fontId="37" fillId="4" borderId="120" xfId="0" applyFont="1" applyFill="1" applyBorder="1" applyAlignment="1">
      <alignment horizontal="center"/>
    </xf>
    <xf numFmtId="0" fontId="37" fillId="4" borderId="106" xfId="0" applyFont="1" applyFill="1" applyBorder="1" applyAlignment="1">
      <alignment horizontal="center"/>
    </xf>
    <xf numFmtId="0" fontId="37" fillId="4" borderId="121" xfId="0" applyFont="1" applyFill="1" applyBorder="1" applyAlignment="1">
      <alignment horizontal="center"/>
    </xf>
    <xf numFmtId="0" fontId="4" fillId="0" borderId="0" xfId="0" applyFont="1" applyAlignment="1">
      <alignment horizontal="center" vertical="center" wrapText="1"/>
    </xf>
    <xf numFmtId="49" fontId="0" fillId="0" borderId="0" xfId="0" applyNumberFormat="1" applyFont="1" applyBorder="1" applyAlignment="1">
      <alignment horizontal="center"/>
    </xf>
    <xf numFmtId="49" fontId="0" fillId="0" borderId="49" xfId="0" applyNumberFormat="1" applyFont="1" applyBorder="1" applyAlignment="1">
      <alignment horizontal="center"/>
    </xf>
    <xf numFmtId="0" fontId="3" fillId="0" borderId="167" xfId="0" applyFont="1" applyBorder="1"/>
    <xf numFmtId="49" fontId="0" fillId="0" borderId="28" xfId="0" applyNumberFormat="1" applyFont="1" applyBorder="1" applyAlignment="1">
      <alignment horizontal="center"/>
    </xf>
    <xf numFmtId="0" fontId="0" fillId="0" borderId="153" xfId="0" applyFont="1" applyBorder="1"/>
    <xf numFmtId="0" fontId="3" fillId="0" borderId="168" xfId="0" applyFont="1" applyBorder="1"/>
    <xf numFmtId="49" fontId="0" fillId="0" borderId="32" xfId="0" applyNumberFormat="1" applyFont="1" applyBorder="1" applyAlignment="1">
      <alignment horizontal="center"/>
    </xf>
    <xf numFmtId="0" fontId="0" fillId="0" borderId="169" xfId="0" applyFont="1" applyBorder="1"/>
    <xf numFmtId="0" fontId="27" fillId="0" borderId="0" xfId="3"/>
    <xf numFmtId="4" fontId="0" fillId="0" borderId="85" xfId="0" applyNumberFormat="1" applyFill="1" applyBorder="1"/>
    <xf numFmtId="2" fontId="0" fillId="9" borderId="170" xfId="0" applyNumberFormat="1" applyFill="1" applyBorder="1" applyAlignment="1">
      <alignment horizontal="center" vertical="center"/>
    </xf>
    <xf numFmtId="2" fontId="0" fillId="9" borderId="171" xfId="0" applyNumberFormat="1" applyFill="1" applyBorder="1" applyAlignment="1">
      <alignment horizontal="center" vertical="center"/>
    </xf>
    <xf numFmtId="2" fontId="0" fillId="9" borderId="99" xfId="0" applyNumberFormat="1" applyFill="1" applyBorder="1" applyAlignment="1">
      <alignment horizontal="center" vertical="center"/>
    </xf>
    <xf numFmtId="0" fontId="0" fillId="0" borderId="27" xfId="0" applyBorder="1" applyProtection="1">
      <protection locked="0"/>
    </xf>
    <xf numFmtId="0" fontId="0" fillId="0" borderId="28" xfId="0" applyBorder="1" applyProtection="1">
      <protection locked="0"/>
    </xf>
    <xf numFmtId="0" fontId="0" fillId="0" borderId="29" xfId="0" applyBorder="1" applyProtection="1">
      <protection locked="0"/>
    </xf>
    <xf numFmtId="0" fontId="0" fillId="0" borderId="18" xfId="0" applyBorder="1" applyProtection="1">
      <protection locked="0"/>
    </xf>
    <xf numFmtId="0" fontId="0" fillId="0" borderId="0" xfId="0" applyBorder="1" applyProtection="1">
      <protection locked="0"/>
    </xf>
    <xf numFmtId="0" fontId="0" fillId="0" borderId="30" xfId="0" applyBorder="1" applyProtection="1">
      <protection locked="0"/>
    </xf>
    <xf numFmtId="0" fontId="0" fillId="0" borderId="44" xfId="0" applyBorder="1" applyProtection="1">
      <protection locked="0"/>
    </xf>
    <xf numFmtId="0" fontId="0" fillId="0" borderId="31" xfId="0" applyBorder="1" applyProtection="1">
      <protection locked="0"/>
    </xf>
    <xf numFmtId="0" fontId="0" fillId="0" borderId="32" xfId="0" applyBorder="1" applyProtection="1">
      <protection locked="0"/>
    </xf>
    <xf numFmtId="0" fontId="0" fillId="0" borderId="33" xfId="0" applyBorder="1" applyProtection="1">
      <protection locked="0"/>
    </xf>
    <xf numFmtId="4" fontId="0" fillId="5" borderId="1" xfId="0" applyNumberFormat="1" applyFill="1" applyBorder="1" applyProtection="1">
      <protection locked="0"/>
    </xf>
    <xf numFmtId="4" fontId="0" fillId="5" borderId="79" xfId="0" applyNumberFormat="1" applyFill="1" applyBorder="1" applyProtection="1">
      <protection locked="0"/>
    </xf>
    <xf numFmtId="4" fontId="0" fillId="5" borderId="144" xfId="0" applyNumberFormat="1" applyFill="1" applyBorder="1" applyProtection="1">
      <protection locked="0"/>
    </xf>
    <xf numFmtId="0" fontId="30" fillId="0" borderId="0" xfId="0" applyFont="1" applyBorder="1" applyAlignment="1">
      <alignment horizontal="center"/>
    </xf>
    <xf numFmtId="0" fontId="4" fillId="0" borderId="44" xfId="0" applyFont="1" applyBorder="1"/>
    <xf numFmtId="4" fontId="4" fillId="0" borderId="0" xfId="0" applyNumberFormat="1" applyFont="1" applyFill="1" applyBorder="1" applyAlignment="1">
      <alignment horizontal="center"/>
    </xf>
    <xf numFmtId="0" fontId="0" fillId="0" borderId="80" xfId="0" applyFill="1" applyBorder="1" applyAlignment="1">
      <alignment horizontal="center"/>
    </xf>
    <xf numFmtId="0" fontId="0" fillId="0" borderId="85" xfId="0" applyFill="1" applyBorder="1" applyAlignment="1">
      <alignment horizontal="center"/>
    </xf>
    <xf numFmtId="0" fontId="54" fillId="0" borderId="0" xfId="0" applyFont="1" applyFill="1" applyBorder="1" applyAlignment="1">
      <alignment horizontal="left" vertical="top"/>
    </xf>
    <xf numFmtId="2" fontId="0" fillId="0" borderId="80" xfId="0" applyNumberFormat="1" applyFont="1" applyFill="1" applyBorder="1" applyAlignment="1">
      <alignment horizontal="center" vertical="center"/>
    </xf>
    <xf numFmtId="2" fontId="0" fillId="0" borderId="85" xfId="0" applyNumberFormat="1" applyFont="1" applyFill="1" applyBorder="1" applyAlignment="1">
      <alignment horizontal="center" vertical="center"/>
    </xf>
    <xf numFmtId="0" fontId="4" fillId="0" borderId="48" xfId="0" applyFont="1" applyBorder="1"/>
    <xf numFmtId="0" fontId="0" fillId="0" borderId="44" xfId="0" applyBorder="1" applyAlignment="1">
      <alignment vertical="top"/>
    </xf>
    <xf numFmtId="0" fontId="0" fillId="0" borderId="44" xfId="0" applyBorder="1" applyAlignment="1">
      <alignment vertical="top" wrapText="1"/>
    </xf>
    <xf numFmtId="0" fontId="0" fillId="0" borderId="0" xfId="0" applyBorder="1" applyAlignment="1">
      <alignment vertical="top" wrapText="1"/>
    </xf>
    <xf numFmtId="0" fontId="0" fillId="0" borderId="0" xfId="0" applyAlignment="1">
      <alignment vertical="top" wrapText="1"/>
    </xf>
    <xf numFmtId="0" fontId="0" fillId="0" borderId="43" xfId="0" applyBorder="1" applyAlignment="1">
      <alignment horizontal="center"/>
    </xf>
    <xf numFmtId="0" fontId="4" fillId="0" borderId="56" xfId="0" applyFont="1" applyBorder="1"/>
    <xf numFmtId="0" fontId="0" fillId="0" borderId="172" xfId="0" applyBorder="1"/>
    <xf numFmtId="0" fontId="0" fillId="0" borderId="173" xfId="0" applyBorder="1"/>
    <xf numFmtId="2" fontId="0" fillId="0" borderId="173" xfId="0" applyNumberFormat="1" applyBorder="1" applyAlignment="1">
      <alignment horizontal="center"/>
    </xf>
    <xf numFmtId="2" fontId="0" fillId="0" borderId="174" xfId="0" applyNumberFormat="1" applyBorder="1" applyAlignment="1">
      <alignment horizontal="center"/>
    </xf>
    <xf numFmtId="0" fontId="6" fillId="0" borderId="172" xfId="0" applyFont="1" applyBorder="1"/>
    <xf numFmtId="0" fontId="6" fillId="0" borderId="173" xfId="0" applyFont="1" applyBorder="1"/>
    <xf numFmtId="0" fontId="6" fillId="0" borderId="0" xfId="0" applyFont="1" applyBorder="1" applyAlignment="1">
      <alignment horizontal="center"/>
    </xf>
    <xf numFmtId="0" fontId="30" fillId="0" borderId="0" xfId="0" applyFont="1" applyBorder="1" applyAlignment="1">
      <alignment horizontal="center"/>
    </xf>
    <xf numFmtId="0" fontId="1" fillId="2" borderId="0" xfId="0" applyFont="1" applyFill="1" applyBorder="1" applyAlignment="1">
      <alignment horizontal="center"/>
    </xf>
    <xf numFmtId="0" fontId="0" fillId="34" borderId="157" xfId="0" applyFill="1" applyBorder="1"/>
    <xf numFmtId="0" fontId="0" fillId="34" borderId="157" xfId="0" applyFill="1" applyBorder="1" applyAlignment="1">
      <alignment horizontal="center"/>
    </xf>
    <xf numFmtId="0" fontId="9" fillId="0" borderId="0" xfId="0" applyFont="1"/>
    <xf numFmtId="0" fontId="12" fillId="0" borderId="0" xfId="0" applyFont="1" applyBorder="1" applyAlignment="1">
      <alignment horizontal="center"/>
    </xf>
    <xf numFmtId="0" fontId="4" fillId="0" borderId="0" xfId="0" applyFont="1" applyBorder="1" applyAlignment="1">
      <alignment horizontal="left" vertical="top" wrapText="1"/>
    </xf>
    <xf numFmtId="0" fontId="0" fillId="0" borderId="175" xfId="0" applyBorder="1"/>
    <xf numFmtId="0" fontId="0" fillId="0" borderId="176" xfId="0" applyFont="1" applyBorder="1" applyAlignment="1">
      <alignment horizontal="center"/>
    </xf>
    <xf numFmtId="0" fontId="0" fillId="0" borderId="0" xfId="0" quotePrefix="1" applyFont="1"/>
    <xf numFmtId="0" fontId="3" fillId="0" borderId="120" xfId="0" applyFont="1" applyBorder="1" applyAlignment="1">
      <alignment vertical="center"/>
    </xf>
    <xf numFmtId="0" fontId="3" fillId="0" borderId="106" xfId="0" applyFont="1" applyBorder="1" applyAlignment="1">
      <alignment vertical="center"/>
    </xf>
    <xf numFmtId="0" fontId="3" fillId="0" borderId="108" xfId="0" applyFont="1" applyBorder="1" applyAlignment="1">
      <alignment vertical="center"/>
    </xf>
    <xf numFmtId="0" fontId="0" fillId="0" borderId="52" xfId="0" applyBorder="1" applyAlignment="1">
      <alignment vertical="center"/>
    </xf>
    <xf numFmtId="0" fontId="0" fillId="0" borderId="156" xfId="0" applyBorder="1" applyAlignment="1">
      <alignment vertical="center"/>
    </xf>
    <xf numFmtId="0" fontId="0" fillId="0" borderId="155" xfId="0" applyBorder="1" applyAlignment="1">
      <alignment vertical="center"/>
    </xf>
    <xf numFmtId="0" fontId="0" fillId="0" borderId="50" xfId="0" applyBorder="1" applyAlignment="1">
      <alignment vertical="center"/>
    </xf>
    <xf numFmtId="0" fontId="4" fillId="0" borderId="52" xfId="0" applyFont="1" applyBorder="1" applyAlignment="1">
      <alignment vertical="center"/>
    </xf>
    <xf numFmtId="0" fontId="4" fillId="0" borderId="0" xfId="0" applyFont="1" applyBorder="1" applyAlignment="1">
      <alignment vertical="center"/>
    </xf>
    <xf numFmtId="0" fontId="46" fillId="0" borderId="52" xfId="0" applyFont="1" applyBorder="1" applyAlignment="1">
      <alignment vertical="center"/>
    </xf>
    <xf numFmtId="0" fontId="46" fillId="0" borderId="0" xfId="0" applyFont="1" applyBorder="1" applyAlignment="1">
      <alignment vertical="center"/>
    </xf>
    <xf numFmtId="0" fontId="0" fillId="0" borderId="0" xfId="0" applyAlignment="1">
      <alignment horizontal="center"/>
    </xf>
    <xf numFmtId="0" fontId="30" fillId="0" borderId="0" xfId="0" applyFont="1" applyBorder="1" applyAlignment="1">
      <alignment horizontal="center"/>
    </xf>
    <xf numFmtId="0" fontId="12" fillId="0" borderId="0" xfId="0" applyFont="1" applyFill="1" applyBorder="1"/>
    <xf numFmtId="0" fontId="0" fillId="0" borderId="28" xfId="0" applyFill="1" applyBorder="1" applyAlignment="1">
      <alignment horizontal="center"/>
    </xf>
    <xf numFmtId="0" fontId="0" fillId="0" borderId="32" xfId="0" applyBorder="1"/>
    <xf numFmtId="0" fontId="0" fillId="33" borderId="0" xfId="0" applyFill="1"/>
    <xf numFmtId="0" fontId="33" fillId="33" borderId="0" xfId="0" applyFont="1" applyFill="1"/>
    <xf numFmtId="0" fontId="58" fillId="33" borderId="0" xfId="0" applyFont="1" applyFill="1"/>
    <xf numFmtId="0" fontId="0" fillId="33" borderId="144" xfId="0" applyFill="1" applyBorder="1"/>
    <xf numFmtId="0" fontId="0" fillId="33" borderId="144" xfId="0" applyFill="1" applyBorder="1" applyAlignment="1">
      <alignment horizontal="center" vertical="center"/>
    </xf>
    <xf numFmtId="14" fontId="0" fillId="33" borderId="144" xfId="0" applyNumberFormat="1" applyFill="1" applyBorder="1" applyAlignment="1">
      <alignment horizontal="center" vertical="center"/>
    </xf>
    <xf numFmtId="14" fontId="0" fillId="33" borderId="144" xfId="0" applyNumberFormat="1" applyFill="1" applyBorder="1" applyAlignment="1">
      <alignment horizontal="left" vertical="center"/>
    </xf>
    <xf numFmtId="0" fontId="0" fillId="33" borderId="144" xfId="0" applyFill="1" applyBorder="1" applyAlignment="1">
      <alignment wrapText="1"/>
    </xf>
    <xf numFmtId="0" fontId="59" fillId="0" borderId="0" xfId="0" applyFont="1"/>
    <xf numFmtId="0" fontId="59" fillId="0" borderId="0" xfId="0" applyFont="1" applyAlignment="1">
      <alignment horizontal="center" vertical="center" wrapText="1"/>
    </xf>
    <xf numFmtId="10" fontId="59" fillId="0" borderId="0" xfId="0" applyNumberFormat="1" applyFont="1"/>
    <xf numFmtId="4" fontId="59" fillId="0" borderId="0" xfId="0" applyNumberFormat="1" applyFont="1"/>
    <xf numFmtId="0" fontId="59" fillId="5" borderId="0" xfId="0" applyFont="1" applyFill="1" applyAlignment="1">
      <alignment horizontal="center" vertical="center" wrapText="1"/>
    </xf>
    <xf numFmtId="0" fontId="59" fillId="14" borderId="0" xfId="0" applyFont="1" applyFill="1" applyAlignment="1">
      <alignment horizontal="center" vertical="center" wrapText="1"/>
    </xf>
    <xf numFmtId="0" fontId="59" fillId="15" borderId="0" xfId="0" applyFont="1" applyFill="1" applyAlignment="1">
      <alignment horizontal="center" vertical="center" wrapText="1"/>
    </xf>
    <xf numFmtId="0" fontId="59" fillId="0" borderId="0" xfId="0" applyFont="1" applyFill="1"/>
    <xf numFmtId="4" fontId="59" fillId="0" borderId="0" xfId="0" applyNumberFormat="1" applyFont="1" applyFill="1"/>
    <xf numFmtId="2" fontId="59" fillId="0" borderId="0" xfId="0" applyNumberFormat="1" applyFont="1" applyFill="1"/>
    <xf numFmtId="0" fontId="60" fillId="0" borderId="0" xfId="0" applyFont="1"/>
    <xf numFmtId="0" fontId="59" fillId="13" borderId="0" xfId="0" applyFont="1" applyFill="1" applyAlignment="1">
      <alignment horizontal="center" vertical="center" wrapText="1"/>
    </xf>
    <xf numFmtId="2" fontId="59" fillId="0" borderId="0" xfId="0" applyNumberFormat="1" applyFont="1"/>
    <xf numFmtId="0" fontId="59" fillId="32" borderId="0" xfId="0" applyFont="1" applyFill="1" applyAlignment="1">
      <alignment horizontal="center" vertical="center" wrapText="1"/>
    </xf>
    <xf numFmtId="0" fontId="59" fillId="38" borderId="0" xfId="0" applyFont="1" applyFill="1" applyAlignment="1">
      <alignment horizontal="center" vertical="center" wrapText="1"/>
    </xf>
    <xf numFmtId="0" fontId="59" fillId="7" borderId="0" xfId="0" applyFont="1" applyFill="1" applyAlignment="1">
      <alignment horizontal="center" vertical="center" wrapText="1"/>
    </xf>
    <xf numFmtId="0" fontId="59" fillId="39" borderId="0" xfId="0" applyFont="1" applyFill="1" applyAlignment="1">
      <alignment horizontal="center" vertical="center" wrapText="1"/>
    </xf>
    <xf numFmtId="0" fontId="59" fillId="21" borderId="0" xfId="0" applyFont="1" applyFill="1" applyAlignment="1">
      <alignment horizontal="center" vertical="center" wrapText="1"/>
    </xf>
    <xf numFmtId="14" fontId="59" fillId="0" borderId="0" xfId="0" applyNumberFormat="1" applyFont="1"/>
    <xf numFmtId="0" fontId="59" fillId="6" borderId="0" xfId="0" applyFont="1" applyFill="1" applyAlignment="1">
      <alignment horizontal="center" vertical="center" wrapText="1"/>
    </xf>
    <xf numFmtId="0" fontId="49" fillId="0" borderId="32" xfId="0" applyFont="1" applyBorder="1" applyAlignment="1"/>
    <xf numFmtId="0" fontId="49" fillId="32" borderId="32" xfId="0" applyFont="1" applyFill="1" applyBorder="1" applyAlignment="1"/>
    <xf numFmtId="1" fontId="18" fillId="32" borderId="144" xfId="0" applyNumberFormat="1" applyFont="1" applyFill="1" applyBorder="1" applyAlignment="1">
      <alignment horizontal="center" vertical="center" wrapText="1"/>
    </xf>
    <xf numFmtId="0" fontId="63" fillId="0" borderId="0" xfId="0" applyFont="1" applyProtection="1"/>
    <xf numFmtId="164" fontId="63" fillId="0" borderId="28" xfId="0" applyNumberFormat="1" applyFont="1" applyBorder="1" applyAlignment="1" applyProtection="1"/>
    <xf numFmtId="0" fontId="63" fillId="0" borderId="0" xfId="0" applyFont="1" applyFill="1" applyProtection="1"/>
    <xf numFmtId="49" fontId="64" fillId="33" borderId="144" xfId="0" applyNumberFormat="1" applyFont="1" applyFill="1" applyBorder="1" applyAlignment="1">
      <alignment horizontal="center" vertical="center" wrapText="1"/>
    </xf>
    <xf numFmtId="1" fontId="64" fillId="33" borderId="144" xfId="0" applyNumberFormat="1" applyFont="1" applyFill="1" applyBorder="1" applyAlignment="1">
      <alignment horizontal="center" vertical="center" wrapText="1"/>
    </xf>
    <xf numFmtId="168" fontId="64" fillId="33" borderId="144" xfId="0" applyNumberFormat="1" applyFont="1" applyFill="1" applyBorder="1" applyAlignment="1">
      <alignment horizontal="center" vertical="center" wrapText="1"/>
    </xf>
    <xf numFmtId="14" fontId="64" fillId="33" borderId="144" xfId="0" applyNumberFormat="1" applyFont="1" applyFill="1" applyBorder="1" applyAlignment="1">
      <alignment horizontal="center" vertical="center" wrapText="1"/>
    </xf>
    <xf numFmtId="1" fontId="65" fillId="33" borderId="144" xfId="0" applyNumberFormat="1" applyFont="1" applyFill="1" applyBorder="1" applyAlignment="1">
      <alignment horizontal="center" vertical="center" wrapText="1"/>
    </xf>
    <xf numFmtId="0" fontId="59" fillId="0" borderId="0" xfId="0" applyFont="1" applyProtection="1"/>
    <xf numFmtId="0" fontId="59" fillId="0" borderId="0" xfId="0" quotePrefix="1" applyFont="1" applyProtection="1"/>
    <xf numFmtId="14" fontId="59" fillId="0" borderId="0" xfId="0" applyNumberFormat="1" applyFont="1" applyProtection="1"/>
    <xf numFmtId="164" fontId="59" fillId="0" borderId="28" xfId="0" applyNumberFormat="1" applyFont="1" applyBorder="1" applyAlignment="1" applyProtection="1"/>
    <xf numFmtId="0" fontId="59" fillId="0" borderId="0" xfId="0" applyFont="1" applyFill="1" applyProtection="1"/>
    <xf numFmtId="0" fontId="62" fillId="0" borderId="0" xfId="0" applyFont="1" applyAlignment="1">
      <alignment horizontal="center" vertical="center"/>
    </xf>
    <xf numFmtId="0" fontId="67" fillId="0" borderId="0" xfId="0" applyFont="1"/>
    <xf numFmtId="0" fontId="63" fillId="0" borderId="0" xfId="0" applyFont="1"/>
    <xf numFmtId="0" fontId="68" fillId="0" borderId="0" xfId="0" applyFont="1" applyAlignment="1">
      <alignment horizontal="center"/>
    </xf>
    <xf numFmtId="0" fontId="67" fillId="0" borderId="0" xfId="0" applyFont="1" applyAlignment="1">
      <alignment horizontal="center"/>
    </xf>
    <xf numFmtId="0" fontId="68" fillId="0" borderId="0" xfId="0" applyFont="1" applyAlignment="1">
      <alignment horizontal="center" vertical="center"/>
    </xf>
    <xf numFmtId="0" fontId="63" fillId="0" borderId="0" xfId="0" quotePrefix="1" applyFont="1" applyFill="1" applyProtection="1"/>
    <xf numFmtId="0" fontId="3" fillId="39" borderId="144" xfId="0" applyFont="1" applyFill="1" applyBorder="1" applyAlignment="1">
      <alignment horizontal="center" vertical="center"/>
    </xf>
    <xf numFmtId="175" fontId="59" fillId="0" borderId="28" xfId="0" applyNumberFormat="1" applyFont="1" applyBorder="1" applyAlignment="1" applyProtection="1"/>
    <xf numFmtId="176" fontId="59" fillId="0" borderId="0" xfId="0" applyNumberFormat="1" applyFont="1" applyProtection="1"/>
    <xf numFmtId="0" fontId="59" fillId="0" borderId="0" xfId="0" applyNumberFormat="1" applyFont="1" applyFill="1"/>
    <xf numFmtId="177" fontId="59" fillId="0" borderId="0" xfId="0" applyNumberFormat="1" applyFont="1"/>
    <xf numFmtId="0" fontId="59" fillId="0" borderId="0" xfId="0" applyNumberFormat="1" applyFont="1"/>
    <xf numFmtId="14" fontId="63" fillId="0" borderId="0" xfId="0" applyNumberFormat="1" applyFont="1" applyFill="1" applyProtection="1">
      <protection locked="0"/>
    </xf>
    <xf numFmtId="14" fontId="59" fillId="0" borderId="0" xfId="0" applyNumberFormat="1" applyFont="1" applyFill="1" applyProtection="1">
      <protection locked="0"/>
    </xf>
    <xf numFmtId="0" fontId="59" fillId="0" borderId="0" xfId="0" applyFont="1" applyFill="1" applyProtection="1">
      <protection locked="0"/>
    </xf>
    <xf numFmtId="0" fontId="69" fillId="0" borderId="0" xfId="0" applyFont="1" applyAlignment="1">
      <alignment horizontal="center"/>
    </xf>
    <xf numFmtId="0" fontId="59" fillId="0" borderId="0" xfId="0" applyFont="1" applyProtection="1">
      <protection locked="0"/>
    </xf>
    <xf numFmtId="0" fontId="69" fillId="0" borderId="0" xfId="0" applyFont="1" applyAlignment="1">
      <alignment horizontal="center" vertical="center"/>
    </xf>
    <xf numFmtId="0" fontId="0" fillId="33" borderId="144" xfId="0" applyFill="1" applyBorder="1" applyAlignment="1">
      <alignment horizontal="center" vertical="center"/>
    </xf>
    <xf numFmtId="14" fontId="0" fillId="33" borderId="144" xfId="0" applyNumberFormat="1" applyFill="1"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4" fillId="33" borderId="0" xfId="0" applyFont="1" applyFill="1"/>
    <xf numFmtId="0" fontId="0" fillId="33" borderId="0" xfId="0" applyFill="1" applyAlignment="1">
      <alignment vertical="center"/>
    </xf>
    <xf numFmtId="0" fontId="3" fillId="33" borderId="0" xfId="0" applyFont="1" applyFill="1" applyAlignment="1">
      <alignment horizontal="left" vertical="center" wrapText="1"/>
    </xf>
    <xf numFmtId="0" fontId="12" fillId="33" borderId="44" xfId="0" applyFont="1" applyFill="1" applyBorder="1"/>
    <xf numFmtId="0" fontId="0" fillId="33" borderId="0" xfId="0" applyFill="1" applyBorder="1"/>
    <xf numFmtId="0" fontId="0" fillId="33" borderId="0" xfId="0" applyFill="1" applyAlignment="1">
      <alignment horizontal="left" vertical="center"/>
    </xf>
    <xf numFmtId="0" fontId="0" fillId="33" borderId="0" xfId="0" applyFont="1" applyFill="1" applyAlignment="1">
      <alignment vertical="center"/>
    </xf>
    <xf numFmtId="0" fontId="6" fillId="33" borderId="0" xfId="0" applyFont="1" applyFill="1" applyAlignment="1">
      <alignment horizontal="left" vertical="center"/>
    </xf>
    <xf numFmtId="0" fontId="0" fillId="33" borderId="44" xfId="0" applyFill="1" applyBorder="1" applyAlignment="1">
      <alignment horizontal="center" vertical="center"/>
    </xf>
    <xf numFmtId="0" fontId="0" fillId="33" borderId="0" xfId="0" applyFill="1" applyAlignment="1">
      <alignment horizontal="center" vertical="center"/>
    </xf>
    <xf numFmtId="0" fontId="3" fillId="33" borderId="144" xfId="0" applyFont="1" applyFill="1" applyBorder="1" applyAlignment="1">
      <alignment horizontal="center" vertical="center"/>
    </xf>
    <xf numFmtId="0" fontId="6" fillId="33" borderId="0" xfId="0" applyFont="1" applyFill="1" applyBorder="1"/>
    <xf numFmtId="0" fontId="6" fillId="33" borderId="0"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0" fillId="33" borderId="0" xfId="0" applyFill="1" applyBorder="1" applyAlignment="1">
      <alignment horizontal="center" vertical="center"/>
    </xf>
    <xf numFmtId="0" fontId="24" fillId="33" borderId="0" xfId="0" applyFont="1" applyFill="1" applyAlignment="1">
      <alignment horizontal="left" vertical="center"/>
    </xf>
    <xf numFmtId="4" fontId="4" fillId="0" borderId="0" xfId="0" applyNumberFormat="1" applyFont="1" applyFill="1" applyBorder="1" applyAlignment="1">
      <alignment horizontal="left"/>
    </xf>
    <xf numFmtId="0" fontId="0" fillId="0" borderId="0" xfId="0" applyBorder="1" applyAlignment="1">
      <alignment horizontal="center" vertical="center"/>
    </xf>
    <xf numFmtId="0" fontId="0" fillId="0" borderId="0" xfId="0" applyFill="1" applyBorder="1" applyAlignment="1">
      <alignment horizontal="center" vertical="center"/>
    </xf>
    <xf numFmtId="0" fontId="6" fillId="33" borderId="0" xfId="0" applyFont="1" applyFill="1" applyBorder="1" applyAlignment="1">
      <alignment horizontal="left" vertical="center" wrapText="1"/>
    </xf>
    <xf numFmtId="0" fontId="6" fillId="33" borderId="18" xfId="0" applyFont="1" applyFill="1" applyBorder="1" applyAlignment="1">
      <alignment vertical="center" wrapText="1"/>
    </xf>
    <xf numFmtId="0" fontId="6" fillId="33" borderId="0" xfId="0" applyFont="1" applyFill="1" applyAlignment="1">
      <alignment vertical="center" wrapText="1"/>
    </xf>
    <xf numFmtId="4" fontId="0" fillId="4" borderId="144" xfId="0" applyNumberFormat="1" applyFill="1" applyBorder="1" applyAlignment="1">
      <alignment horizontal="right" vertical="center"/>
    </xf>
    <xf numFmtId="2" fontId="3" fillId="4" borderId="144" xfId="0" applyNumberFormat="1" applyFont="1" applyFill="1" applyBorder="1" applyAlignment="1">
      <alignment horizontal="right" vertical="center"/>
    </xf>
    <xf numFmtId="2" fontId="0" fillId="4" borderId="144" xfId="0" applyNumberFormat="1" applyFont="1" applyFill="1" applyBorder="1" applyAlignment="1">
      <alignment horizontal="right" vertical="center"/>
    </xf>
    <xf numFmtId="0" fontId="3" fillId="33" borderId="32" xfId="0" applyFont="1" applyFill="1" applyBorder="1"/>
    <xf numFmtId="0" fontId="0" fillId="33" borderId="32" xfId="0" applyFill="1" applyBorder="1"/>
    <xf numFmtId="0" fontId="0" fillId="33" borderId="32" xfId="0" quotePrefix="1" applyFill="1" applyBorder="1"/>
    <xf numFmtId="2" fontId="0" fillId="9" borderId="144" xfId="0" applyNumberFormat="1" applyFill="1" applyBorder="1" applyAlignment="1">
      <alignment horizontal="center" vertical="center"/>
    </xf>
    <xf numFmtId="2" fontId="0" fillId="9" borderId="82" xfId="0" applyNumberFormat="1" applyFill="1" applyBorder="1" applyAlignment="1">
      <alignment horizontal="center" vertical="center"/>
    </xf>
    <xf numFmtId="0" fontId="26" fillId="0" borderId="57" xfId="0" applyFont="1" applyBorder="1"/>
    <xf numFmtId="14" fontId="0" fillId="33" borderId="144" xfId="0" applyNumberFormat="1" applyFill="1" applyBorder="1" applyAlignment="1">
      <alignment horizontal="left" vertical="center" wrapText="1"/>
    </xf>
    <xf numFmtId="14" fontId="0" fillId="33" borderId="67" xfId="0" applyNumberFormat="1" applyFill="1" applyBorder="1" applyAlignment="1">
      <alignment horizontal="center" vertical="center"/>
    </xf>
    <xf numFmtId="14" fontId="0" fillId="33" borderId="68" xfId="0" applyNumberFormat="1" applyFill="1" applyBorder="1" applyAlignment="1">
      <alignment horizontal="center" vertical="center"/>
    </xf>
    <xf numFmtId="0" fontId="0" fillId="33" borderId="67" xfId="0" applyFill="1" applyBorder="1" applyAlignment="1">
      <alignment horizontal="center" vertical="center"/>
    </xf>
    <xf numFmtId="0" fontId="0" fillId="33" borderId="68" xfId="0" applyFill="1" applyBorder="1" applyAlignment="1">
      <alignment horizontal="center" vertical="center"/>
    </xf>
    <xf numFmtId="0" fontId="0" fillId="33" borderId="144" xfId="0" applyFill="1" applyBorder="1" applyAlignment="1">
      <alignment horizontal="center" vertical="center"/>
    </xf>
    <xf numFmtId="14" fontId="0" fillId="33" borderId="144" xfId="0" applyNumberFormat="1" applyFill="1" applyBorder="1" applyAlignment="1">
      <alignment horizontal="center" vertical="center"/>
    </xf>
    <xf numFmtId="0" fontId="0" fillId="33" borderId="178" xfId="0" applyFill="1" applyBorder="1" applyAlignment="1">
      <alignment horizontal="center" vertical="center"/>
    </xf>
    <xf numFmtId="14" fontId="0" fillId="33" borderId="178" xfId="0" applyNumberFormat="1" applyFill="1" applyBorder="1" applyAlignment="1">
      <alignment horizontal="center" vertical="center"/>
    </xf>
    <xf numFmtId="0" fontId="3" fillId="0" borderId="0" xfId="0" applyFont="1" applyAlignment="1">
      <alignment horizontal="center"/>
    </xf>
    <xf numFmtId="0" fontId="6" fillId="0" borderId="0" xfId="0" applyFont="1" applyAlignment="1">
      <alignment horizontal="center"/>
    </xf>
    <xf numFmtId="0" fontId="0" fillId="0" borderId="2" xfId="0" applyBorder="1" applyAlignment="1" applyProtection="1">
      <alignment horizontal="left"/>
      <protection locked="0"/>
    </xf>
    <xf numFmtId="0" fontId="0" fillId="0" borderId="9" xfId="0" applyBorder="1" applyAlignment="1" applyProtection="1">
      <alignment horizontal="left"/>
      <protection locked="0"/>
    </xf>
    <xf numFmtId="0" fontId="0" fillId="0" borderId="3" xfId="0" applyBorder="1" applyAlignment="1" applyProtection="1">
      <alignment horizontal="left"/>
      <protection locked="0"/>
    </xf>
    <xf numFmtId="0" fontId="16" fillId="3" borderId="0" xfId="0" applyFont="1" applyFill="1" applyAlignment="1">
      <alignment horizontal="right"/>
    </xf>
    <xf numFmtId="0" fontId="0" fillId="0" borderId="80" xfId="0" applyBorder="1" applyAlignment="1" applyProtection="1">
      <alignment horizontal="left"/>
      <protection locked="0"/>
    </xf>
    <xf numFmtId="0" fontId="0" fillId="0" borderId="85" xfId="0" applyBorder="1" applyAlignment="1" applyProtection="1">
      <alignment horizontal="left"/>
      <protection locked="0"/>
    </xf>
    <xf numFmtId="0" fontId="0" fillId="0" borderId="81" xfId="0" applyBorder="1" applyAlignment="1" applyProtection="1">
      <alignment horizontal="left"/>
      <protection locked="0"/>
    </xf>
    <xf numFmtId="14" fontId="0" fillId="0" borderId="2" xfId="0" applyNumberFormat="1" applyBorder="1" applyAlignment="1" applyProtection="1">
      <alignment horizontal="center"/>
      <protection locked="0"/>
    </xf>
    <xf numFmtId="14" fontId="0" fillId="0" borderId="3" xfId="0" applyNumberFormat="1" applyBorder="1" applyAlignment="1" applyProtection="1">
      <alignment horizontal="center"/>
      <protection locked="0"/>
    </xf>
    <xf numFmtId="0" fontId="0" fillId="0" borderId="2"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3" xfId="0" applyBorder="1" applyAlignment="1" applyProtection="1">
      <alignment horizontal="left" vertical="center"/>
      <protection locked="0"/>
    </xf>
    <xf numFmtId="169" fontId="0" fillId="0" borderId="2" xfId="0" applyNumberFormat="1" applyBorder="1" applyAlignment="1" applyProtection="1">
      <alignment horizontal="center"/>
      <protection locked="0"/>
    </xf>
    <xf numFmtId="169" fontId="0" fillId="0" borderId="3" xfId="0" applyNumberFormat="1" applyBorder="1" applyAlignment="1" applyProtection="1">
      <alignment horizontal="center"/>
      <protection locked="0"/>
    </xf>
    <xf numFmtId="0" fontId="0" fillId="0" borderId="80" xfId="0" applyBorder="1" applyAlignment="1" applyProtection="1">
      <alignment horizontal="left" vertical="center"/>
      <protection locked="0"/>
    </xf>
    <xf numFmtId="0" fontId="0" fillId="0" borderId="85" xfId="0" applyBorder="1" applyAlignment="1" applyProtection="1">
      <alignment horizontal="left" vertical="center"/>
      <protection locked="0"/>
    </xf>
    <xf numFmtId="0" fontId="0" fillId="0" borderId="81" xfId="0" applyBorder="1" applyAlignment="1" applyProtection="1">
      <alignment horizontal="left" vertical="center"/>
      <protection locked="0"/>
    </xf>
    <xf numFmtId="170" fontId="0" fillId="0" borderId="80" xfId="0" applyNumberFormat="1" applyBorder="1" applyAlignment="1" applyProtection="1">
      <alignment horizontal="left" vertical="center"/>
      <protection locked="0"/>
    </xf>
    <xf numFmtId="170" fontId="0" fillId="0" borderId="81" xfId="0" applyNumberFormat="1" applyBorder="1" applyAlignment="1" applyProtection="1">
      <alignment horizontal="left" vertical="center"/>
      <protection locked="0"/>
    </xf>
    <xf numFmtId="0" fontId="27" fillId="0" borderId="1" xfId="3" applyBorder="1" applyAlignment="1" applyProtection="1">
      <alignment horizontal="left"/>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172" fontId="0" fillId="0" borderId="2" xfId="0" applyNumberFormat="1" applyBorder="1" applyAlignment="1" applyProtection="1">
      <alignment horizontal="left"/>
      <protection locked="0"/>
    </xf>
    <xf numFmtId="172" fontId="0" fillId="0" borderId="9" xfId="0" applyNumberFormat="1" applyBorder="1" applyAlignment="1" applyProtection="1">
      <alignment horizontal="left"/>
      <protection locked="0"/>
    </xf>
    <xf numFmtId="172" fontId="0" fillId="0" borderId="3" xfId="0" applyNumberFormat="1" applyBorder="1" applyAlignment="1" applyProtection="1">
      <alignment horizontal="left"/>
      <protection locked="0"/>
    </xf>
    <xf numFmtId="170" fontId="0" fillId="0" borderId="2" xfId="0" applyNumberFormat="1" applyBorder="1" applyAlignment="1" applyProtection="1">
      <alignment horizontal="left"/>
      <protection locked="0"/>
    </xf>
    <xf numFmtId="170" fontId="0" fillId="0" borderId="3" xfId="0" applyNumberFormat="1" applyBorder="1" applyAlignment="1" applyProtection="1">
      <alignment horizontal="left"/>
      <protection locked="0"/>
    </xf>
    <xf numFmtId="173" fontId="0" fillId="0" borderId="1" xfId="0" applyNumberFormat="1" applyBorder="1" applyAlignment="1" applyProtection="1">
      <alignment horizontal="left"/>
      <protection locked="0"/>
    </xf>
    <xf numFmtId="0" fontId="0" fillId="9" borderId="80" xfId="0" applyFill="1" applyBorder="1" applyAlignment="1">
      <alignment horizontal="left"/>
    </xf>
    <xf numFmtId="0" fontId="0" fillId="9" borderId="85" xfId="0" applyFill="1" applyBorder="1" applyAlignment="1">
      <alignment horizontal="left"/>
    </xf>
    <xf numFmtId="0" fontId="0" fillId="9" borderId="81" xfId="0" applyFill="1" applyBorder="1" applyAlignment="1">
      <alignment horizontal="left"/>
    </xf>
    <xf numFmtId="0" fontId="0" fillId="9" borderId="80" xfId="0" applyFill="1" applyBorder="1" applyAlignment="1" applyProtection="1">
      <alignment horizontal="left"/>
    </xf>
    <xf numFmtId="0" fontId="0" fillId="9" borderId="85" xfId="0" applyFill="1" applyBorder="1" applyAlignment="1" applyProtection="1">
      <alignment horizontal="left"/>
    </xf>
    <xf numFmtId="0" fontId="0" fillId="9" borderId="81" xfId="0" applyFill="1" applyBorder="1" applyAlignment="1" applyProtection="1">
      <alignment horizontal="left"/>
    </xf>
    <xf numFmtId="0" fontId="0" fillId="0" borderId="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80" xfId="0" applyBorder="1" applyAlignment="1" applyProtection="1">
      <alignment horizontal="center"/>
      <protection locked="0"/>
    </xf>
    <xf numFmtId="0" fontId="0" fillId="0" borderId="85" xfId="0" applyBorder="1" applyAlignment="1" applyProtection="1">
      <alignment horizontal="center"/>
      <protection locked="0"/>
    </xf>
    <xf numFmtId="0" fontId="0" fillId="0" borderId="81" xfId="0" applyBorder="1" applyAlignment="1" applyProtection="1">
      <alignment horizontal="center"/>
      <protection locked="0"/>
    </xf>
    <xf numFmtId="0" fontId="0" fillId="0" borderId="27"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12" fillId="0" borderId="0" xfId="0" applyFont="1" applyBorder="1" applyAlignment="1">
      <alignment horizontal="center"/>
    </xf>
    <xf numFmtId="0" fontId="6" fillId="0" borderId="0" xfId="0" applyFont="1" applyBorder="1" applyAlignment="1">
      <alignment horizontal="center"/>
    </xf>
    <xf numFmtId="0" fontId="30" fillId="0" borderId="0" xfId="0" applyFont="1" applyBorder="1" applyAlignment="1">
      <alignment horizontal="center" vertical="center"/>
    </xf>
    <xf numFmtId="0" fontId="13" fillId="0" borderId="56" xfId="0" applyFont="1" applyBorder="1" applyAlignment="1">
      <alignment horizontal="center"/>
    </xf>
    <xf numFmtId="0" fontId="13" fillId="0" borderId="57" xfId="0" applyFont="1" applyBorder="1" applyAlignment="1">
      <alignment horizontal="center"/>
    </xf>
    <xf numFmtId="0" fontId="12" fillId="0" borderId="0" xfId="0" applyFont="1" applyAlignment="1">
      <alignment horizontal="center" vertical="center"/>
    </xf>
    <xf numFmtId="0" fontId="13" fillId="0" borderId="56" xfId="0" applyFont="1" applyBorder="1" applyAlignment="1">
      <alignment horizontal="center" wrapText="1"/>
    </xf>
    <xf numFmtId="0" fontId="13" fillId="0" borderId="57" xfId="0" applyFont="1" applyBorder="1" applyAlignment="1">
      <alignment horizontal="center" wrapText="1"/>
    </xf>
    <xf numFmtId="0" fontId="0" fillId="5" borderId="2" xfId="0" applyFill="1" applyBorder="1" applyAlignment="1" applyProtection="1">
      <alignment horizontal="left"/>
      <protection locked="0"/>
    </xf>
    <xf numFmtId="0" fontId="0" fillId="5" borderId="9"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4" fillId="0" borderId="66" xfId="0" applyFont="1" applyBorder="1" applyAlignment="1">
      <alignment horizontal="left" vertical="top" wrapText="1"/>
    </xf>
    <xf numFmtId="0" fontId="14" fillId="0" borderId="0" xfId="0" applyFont="1" applyBorder="1" applyAlignment="1">
      <alignment horizontal="left" vertical="top" wrapText="1"/>
    </xf>
    <xf numFmtId="0" fontId="14" fillId="0" borderId="62" xfId="0" applyFont="1" applyBorder="1" applyAlignment="1">
      <alignment horizontal="left" vertical="top" wrapText="1"/>
    </xf>
    <xf numFmtId="0" fontId="14" fillId="0" borderId="43" xfId="0" applyFont="1" applyBorder="1" applyAlignment="1">
      <alignment horizontal="left" vertical="top" wrapText="1"/>
    </xf>
    <xf numFmtId="0" fontId="3" fillId="0" borderId="0" xfId="0" applyFont="1" applyBorder="1" applyAlignment="1">
      <alignment horizontal="left" vertical="top" wrapText="1"/>
    </xf>
    <xf numFmtId="0" fontId="0" fillId="5" borderId="27" xfId="0" applyFill="1" applyBorder="1" applyAlignment="1" applyProtection="1">
      <alignment horizontal="left" vertical="top"/>
      <protection locked="0"/>
    </xf>
    <xf numFmtId="0" fontId="0" fillId="5" borderId="28" xfId="0" applyFill="1" applyBorder="1" applyAlignment="1" applyProtection="1">
      <alignment horizontal="left" vertical="top"/>
      <protection locked="0"/>
    </xf>
    <xf numFmtId="0" fontId="0" fillId="5" borderId="29" xfId="0" applyFill="1" applyBorder="1" applyAlignment="1" applyProtection="1">
      <alignment horizontal="left" vertical="top"/>
      <protection locked="0"/>
    </xf>
    <xf numFmtId="0" fontId="0" fillId="5" borderId="18" xfId="0" applyFill="1" applyBorder="1" applyAlignment="1" applyProtection="1">
      <alignment horizontal="left" vertical="top"/>
      <protection locked="0"/>
    </xf>
    <xf numFmtId="0" fontId="0" fillId="5" borderId="0" xfId="0" applyFill="1" applyBorder="1" applyAlignment="1" applyProtection="1">
      <alignment horizontal="left" vertical="top"/>
      <protection locked="0"/>
    </xf>
    <xf numFmtId="0" fontId="0" fillId="5" borderId="30" xfId="0" applyFill="1" applyBorder="1" applyAlignment="1" applyProtection="1">
      <alignment horizontal="left" vertical="top"/>
      <protection locked="0"/>
    </xf>
    <xf numFmtId="0" fontId="0" fillId="5" borderId="31" xfId="0" applyFill="1" applyBorder="1" applyAlignment="1" applyProtection="1">
      <alignment horizontal="left" vertical="top"/>
      <protection locked="0"/>
    </xf>
    <xf numFmtId="0" fontId="0" fillId="5" borderId="32" xfId="0" applyFill="1" applyBorder="1" applyAlignment="1" applyProtection="1">
      <alignment horizontal="left" vertical="top"/>
      <protection locked="0"/>
    </xf>
    <xf numFmtId="0" fontId="0" fillId="5" borderId="33" xfId="0" applyFill="1" applyBorder="1" applyAlignment="1" applyProtection="1">
      <alignment horizontal="left" vertical="top"/>
      <protection locked="0"/>
    </xf>
    <xf numFmtId="0" fontId="3" fillId="0" borderId="43" xfId="0" applyFont="1" applyBorder="1" applyAlignment="1">
      <alignment horizontal="left"/>
    </xf>
    <xf numFmtId="0" fontId="6" fillId="0" borderId="0" xfId="0" applyFont="1" applyBorder="1" applyAlignment="1">
      <alignment horizontal="left" vertical="center" wrapText="1"/>
    </xf>
    <xf numFmtId="0" fontId="6" fillId="0" borderId="0" xfId="0" applyFont="1" applyBorder="1" applyAlignment="1">
      <alignment horizontal="left"/>
    </xf>
    <xf numFmtId="0" fontId="6" fillId="33" borderId="0" xfId="0" applyFont="1" applyFill="1" applyBorder="1" applyAlignment="1">
      <alignment horizontal="left" vertical="center" wrapText="1"/>
    </xf>
    <xf numFmtId="0" fontId="30" fillId="0" borderId="0" xfId="0" applyFont="1" applyBorder="1" applyAlignment="1">
      <alignment horizontal="center"/>
    </xf>
    <xf numFmtId="2" fontId="1" fillId="12" borderId="2" xfId="0" applyNumberFormat="1" applyFont="1" applyFill="1" applyBorder="1" applyAlignment="1">
      <alignment horizontal="center"/>
    </xf>
    <xf numFmtId="2" fontId="1" fillId="12" borderId="3" xfId="0" applyNumberFormat="1" applyFont="1" applyFill="1" applyBorder="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9" borderId="2" xfId="0" applyFill="1" applyBorder="1" applyAlignment="1">
      <alignment horizontal="center"/>
    </xf>
    <xf numFmtId="0" fontId="0" fillId="9" borderId="3" xfId="0" applyFill="1" applyBorder="1" applyAlignment="1">
      <alignment horizontal="center"/>
    </xf>
    <xf numFmtId="0" fontId="0" fillId="9" borderId="27" xfId="0" applyFill="1" applyBorder="1" applyAlignment="1">
      <alignment horizontal="center" vertical="center"/>
    </xf>
    <xf numFmtId="0" fontId="0" fillId="9" borderId="29" xfId="0" applyFill="1" applyBorder="1" applyAlignment="1">
      <alignment horizontal="center" vertical="center"/>
    </xf>
    <xf numFmtId="0" fontId="0" fillId="9" borderId="31" xfId="0" applyFill="1" applyBorder="1" applyAlignment="1">
      <alignment horizontal="center" vertical="center"/>
    </xf>
    <xf numFmtId="0" fontId="0" fillId="9" borderId="33" xfId="0" applyFill="1" applyBorder="1" applyAlignment="1">
      <alignment horizontal="center" vertical="center"/>
    </xf>
    <xf numFmtId="2" fontId="3" fillId="8" borderId="2" xfId="0" applyNumberFormat="1" applyFont="1" applyFill="1" applyBorder="1" applyAlignment="1">
      <alignment horizontal="center"/>
    </xf>
    <xf numFmtId="2" fontId="3" fillId="8" borderId="3" xfId="0" applyNumberFormat="1" applyFont="1" applyFill="1" applyBorder="1" applyAlignment="1">
      <alignment horizontal="center"/>
    </xf>
    <xf numFmtId="0" fontId="12" fillId="0" borderId="32" xfId="0" applyFont="1" applyBorder="1" applyAlignment="1">
      <alignment horizontal="center"/>
    </xf>
    <xf numFmtId="4" fontId="3" fillId="8" borderId="2" xfId="0" applyNumberFormat="1" applyFont="1" applyFill="1" applyBorder="1" applyAlignment="1">
      <alignment horizontal="center"/>
    </xf>
    <xf numFmtId="4" fontId="3" fillId="8" borderId="3" xfId="0" applyNumberFormat="1" applyFont="1" applyFill="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2" fontId="0" fillId="8" borderId="2" xfId="0" applyNumberFormat="1" applyFont="1" applyFill="1" applyBorder="1" applyAlignment="1">
      <alignment horizontal="center"/>
    </xf>
    <xf numFmtId="2" fontId="0" fillId="8" borderId="3" xfId="0" applyNumberFormat="1" applyFont="1" applyFill="1" applyBorder="1" applyAlignment="1">
      <alignment horizontal="center"/>
    </xf>
    <xf numFmtId="0" fontId="0" fillId="7" borderId="2" xfId="0" applyNumberFormat="1" applyFill="1" applyBorder="1" applyAlignment="1">
      <alignment horizontal="center"/>
    </xf>
    <xf numFmtId="0" fontId="0" fillId="7" borderId="3" xfId="0" applyNumberFormat="1" applyFill="1" applyBorder="1" applyAlignment="1">
      <alignment horizontal="center"/>
    </xf>
    <xf numFmtId="0" fontId="6" fillId="0" borderId="69" xfId="0" applyFont="1" applyBorder="1" applyAlignment="1">
      <alignment horizontal="left"/>
    </xf>
    <xf numFmtId="0" fontId="6" fillId="0" borderId="70" xfId="0" applyFont="1" applyBorder="1" applyAlignment="1">
      <alignment horizontal="left"/>
    </xf>
    <xf numFmtId="0" fontId="0" fillId="5" borderId="80" xfId="0" applyFill="1" applyBorder="1" applyAlignment="1" applyProtection="1">
      <alignment horizontal="center"/>
      <protection locked="0"/>
    </xf>
    <xf numFmtId="0" fontId="0" fillId="5" borderId="81" xfId="0" applyFill="1" applyBorder="1" applyAlignment="1" applyProtection="1">
      <alignment horizontal="center"/>
      <protection locked="0"/>
    </xf>
    <xf numFmtId="10" fontId="0" fillId="7" borderId="2" xfId="0" applyNumberFormat="1" applyFill="1" applyBorder="1" applyAlignment="1">
      <alignment horizontal="center"/>
    </xf>
    <xf numFmtId="10" fontId="0" fillId="7" borderId="3" xfId="0" applyNumberFormat="1" applyFill="1" applyBorder="1" applyAlignment="1">
      <alignment horizontal="center"/>
    </xf>
    <xf numFmtId="0" fontId="0" fillId="9" borderId="2" xfId="0" applyNumberFormat="1" applyFill="1" applyBorder="1" applyAlignment="1">
      <alignment horizontal="center"/>
    </xf>
    <xf numFmtId="0" fontId="0" fillId="9" borderId="3" xfId="0" applyNumberFormat="1" applyFill="1" applyBorder="1" applyAlignment="1">
      <alignment horizontal="center"/>
    </xf>
    <xf numFmtId="4" fontId="1" fillId="12" borderId="2" xfId="0" applyNumberFormat="1" applyFont="1" applyFill="1" applyBorder="1" applyAlignment="1">
      <alignment horizontal="center"/>
    </xf>
    <xf numFmtId="4" fontId="1" fillId="12" borderId="3" xfId="0" applyNumberFormat="1" applyFont="1" applyFill="1" applyBorder="1" applyAlignment="1">
      <alignment horizontal="center"/>
    </xf>
    <xf numFmtId="4" fontId="0" fillId="7" borderId="2" xfId="0" applyNumberFormat="1" applyFill="1" applyBorder="1" applyAlignment="1">
      <alignment horizontal="center"/>
    </xf>
    <xf numFmtId="4" fontId="0" fillId="7" borderId="3" xfId="0" applyNumberFormat="1" applyFill="1" applyBorder="1" applyAlignment="1">
      <alignment horizontal="center"/>
    </xf>
    <xf numFmtId="10" fontId="0" fillId="9" borderId="2" xfId="0" applyNumberFormat="1" applyFill="1" applyBorder="1" applyAlignment="1">
      <alignment horizontal="center"/>
    </xf>
    <xf numFmtId="0" fontId="12" fillId="0" borderId="0" xfId="0" applyFont="1" applyAlignment="1">
      <alignment horizontal="center"/>
    </xf>
    <xf numFmtId="4" fontId="3" fillId="8" borderId="80" xfId="0" applyNumberFormat="1" applyFont="1" applyFill="1" applyBorder="1" applyAlignment="1">
      <alignment horizontal="center"/>
    </xf>
    <xf numFmtId="4" fontId="3" fillId="8" borderId="81" xfId="0" applyNumberFormat="1" applyFont="1" applyFill="1" applyBorder="1" applyAlignment="1">
      <alignment horizontal="center"/>
    </xf>
    <xf numFmtId="0" fontId="6" fillId="0" borderId="43" xfId="0" applyFont="1" applyBorder="1" applyAlignment="1">
      <alignment horizontal="left"/>
    </xf>
    <xf numFmtId="0" fontId="6" fillId="0" borderId="48" xfId="0" applyFont="1" applyBorder="1" applyAlignment="1">
      <alignment horizontal="left"/>
    </xf>
    <xf numFmtId="0" fontId="0" fillId="0" borderId="45" xfId="0" applyBorder="1" applyAlignment="1">
      <alignment horizontal="left" wrapText="1"/>
    </xf>
    <xf numFmtId="0" fontId="0" fillId="0" borderId="47" xfId="0" applyBorder="1" applyAlignment="1">
      <alignment horizontal="left" wrapText="1"/>
    </xf>
    <xf numFmtId="4" fontId="0" fillId="7" borderId="27" xfId="0" applyNumberFormat="1" applyFill="1" applyBorder="1" applyAlignment="1">
      <alignment horizontal="center" vertical="center"/>
    </xf>
    <xf numFmtId="4" fontId="0" fillId="7" borderId="29" xfId="0" applyNumberFormat="1" applyFill="1" applyBorder="1" applyAlignment="1">
      <alignment horizontal="center" vertical="center"/>
    </xf>
    <xf numFmtId="4" fontId="0" fillId="7" borderId="31" xfId="0" applyNumberFormat="1" applyFill="1" applyBorder="1" applyAlignment="1">
      <alignment horizontal="center" vertical="center"/>
    </xf>
    <xf numFmtId="4" fontId="0" fillId="7" borderId="33" xfId="0" applyNumberFormat="1" applyFill="1" applyBorder="1" applyAlignment="1">
      <alignment horizontal="center" vertical="center"/>
    </xf>
    <xf numFmtId="0" fontId="12" fillId="0" borderId="0" xfId="0" applyFont="1" applyBorder="1" applyAlignment="1">
      <alignment horizontal="center" vertical="center" wrapText="1"/>
    </xf>
    <xf numFmtId="4" fontId="0" fillId="5" borderId="2" xfId="0" applyNumberFormat="1" applyFill="1" applyBorder="1" applyAlignment="1" applyProtection="1">
      <alignment horizontal="center" vertical="center"/>
      <protection locked="0"/>
    </xf>
    <xf numFmtId="4" fontId="0" fillId="5" borderId="3" xfId="0" applyNumberFormat="1" applyFill="1" applyBorder="1" applyAlignment="1" applyProtection="1">
      <alignment horizontal="center" vertical="center"/>
      <protection locked="0"/>
    </xf>
    <xf numFmtId="0" fontId="0" fillId="0" borderId="44" xfId="0" applyBorder="1" applyAlignment="1">
      <alignment horizontal="left"/>
    </xf>
    <xf numFmtId="0" fontId="0" fillId="0" borderId="46" xfId="0" applyBorder="1" applyAlignment="1">
      <alignment horizontal="left"/>
    </xf>
    <xf numFmtId="0" fontId="0" fillId="0" borderId="45" xfId="0" applyBorder="1" applyAlignment="1">
      <alignment horizontal="left"/>
    </xf>
    <xf numFmtId="0" fontId="0" fillId="0" borderId="47" xfId="0" applyBorder="1" applyAlignment="1">
      <alignment horizontal="left"/>
    </xf>
    <xf numFmtId="4" fontId="0" fillId="9" borderId="2" xfId="0" applyNumberFormat="1" applyFill="1" applyBorder="1" applyAlignment="1">
      <alignment horizontal="center"/>
    </xf>
    <xf numFmtId="4" fontId="0" fillId="9" borderId="3" xfId="0" applyNumberFormat="1" applyFill="1" applyBorder="1" applyAlignment="1">
      <alignment horizontal="center"/>
    </xf>
    <xf numFmtId="10" fontId="0" fillId="9" borderId="3" xfId="0" applyNumberFormat="1" applyFill="1" applyBorder="1" applyAlignment="1">
      <alignment horizontal="center"/>
    </xf>
    <xf numFmtId="0" fontId="0" fillId="5" borderId="9" xfId="0" applyFill="1" applyBorder="1" applyAlignment="1" applyProtection="1">
      <alignment horizontal="center"/>
      <protection locked="0"/>
    </xf>
    <xf numFmtId="4" fontId="0" fillId="5" borderId="2" xfId="0" applyNumberFormat="1" applyFill="1" applyBorder="1" applyAlignment="1" applyProtection="1">
      <alignment horizontal="center"/>
      <protection locked="0"/>
    </xf>
    <xf numFmtId="4" fontId="0" fillId="5" borderId="3" xfId="0" applyNumberFormat="1" applyFill="1" applyBorder="1" applyAlignment="1" applyProtection="1">
      <alignment horizontal="center"/>
      <protection locked="0"/>
    </xf>
    <xf numFmtId="4" fontId="0" fillId="0" borderId="18" xfId="0" applyNumberFormat="1" applyFill="1" applyBorder="1" applyAlignment="1" applyProtection="1">
      <alignment horizontal="center" vertical="center"/>
    </xf>
    <xf numFmtId="4" fontId="0" fillId="0" borderId="30" xfId="0" applyNumberFormat="1" applyFill="1" applyBorder="1" applyAlignment="1" applyProtection="1">
      <alignment horizontal="center" vertical="center"/>
    </xf>
    <xf numFmtId="0" fontId="0" fillId="6" borderId="2" xfId="0" applyFill="1" applyBorder="1" applyAlignment="1">
      <alignment horizontal="center"/>
    </xf>
    <xf numFmtId="0" fontId="0" fillId="6" borderId="3" xfId="0" applyFill="1" applyBorder="1" applyAlignment="1">
      <alignment horizontal="center"/>
    </xf>
    <xf numFmtId="4" fontId="0" fillId="7" borderId="80" xfId="0" applyNumberFormat="1" applyFill="1" applyBorder="1" applyAlignment="1">
      <alignment horizontal="center"/>
    </xf>
    <xf numFmtId="4" fontId="0" fillId="7" borderId="81" xfId="0" applyNumberFormat="1" applyFill="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4" fontId="0" fillId="9" borderId="80" xfId="0" applyNumberFormat="1" applyFill="1" applyBorder="1" applyAlignment="1">
      <alignment horizontal="center" vertical="center"/>
    </xf>
    <xf numFmtId="4" fontId="0" fillId="9" borderId="81" xfId="0" applyNumberFormat="1" applyFill="1" applyBorder="1" applyAlignment="1">
      <alignment horizontal="center" vertical="center"/>
    </xf>
    <xf numFmtId="4" fontId="0" fillId="0" borderId="18" xfId="0" applyNumberFormat="1" applyFill="1" applyBorder="1" applyAlignment="1">
      <alignment horizontal="center" vertical="center"/>
    </xf>
    <xf numFmtId="4" fontId="0" fillId="0" borderId="30" xfId="0" applyNumberFormat="1" applyFill="1" applyBorder="1" applyAlignment="1">
      <alignment horizontal="center" vertical="center"/>
    </xf>
    <xf numFmtId="0" fontId="0" fillId="0" borderId="44" xfId="0" applyBorder="1" applyAlignment="1">
      <alignment horizontal="left" wrapText="1"/>
    </xf>
    <xf numFmtId="0" fontId="0" fillId="0" borderId="46" xfId="0" applyBorder="1" applyAlignment="1">
      <alignment horizontal="left" wrapText="1"/>
    </xf>
    <xf numFmtId="0" fontId="0" fillId="0" borderId="45" xfId="0" applyFont="1" applyBorder="1" applyAlignment="1">
      <alignment horizontal="left"/>
    </xf>
    <xf numFmtId="0" fontId="0" fillId="0" borderId="47" xfId="0" applyFont="1" applyBorder="1" applyAlignment="1">
      <alignment horizontal="left"/>
    </xf>
    <xf numFmtId="4" fontId="0" fillId="5" borderId="80" xfId="0" applyNumberFormat="1" applyFill="1" applyBorder="1" applyAlignment="1" applyProtection="1">
      <alignment horizontal="center" vertical="center"/>
      <protection locked="0"/>
    </xf>
    <xf numFmtId="4" fontId="0" fillId="5" borderId="81" xfId="0" applyNumberFormat="1" applyFill="1" applyBorder="1" applyAlignment="1" applyProtection="1">
      <alignment horizontal="center" vertical="center"/>
      <protection locked="0"/>
    </xf>
    <xf numFmtId="4" fontId="0" fillId="9" borderId="2" xfId="0" applyNumberFormat="1" applyFill="1" applyBorder="1" applyAlignment="1">
      <alignment horizontal="center" vertical="center"/>
    </xf>
    <xf numFmtId="4" fontId="0" fillId="9" borderId="3" xfId="0" applyNumberFormat="1" applyFill="1" applyBorder="1" applyAlignment="1">
      <alignment horizontal="center" vertical="center"/>
    </xf>
    <xf numFmtId="4" fontId="0" fillId="0" borderId="2" xfId="0" applyNumberFormat="1" applyFill="1" applyBorder="1" applyAlignment="1">
      <alignment horizontal="center" vertical="center"/>
    </xf>
    <xf numFmtId="4" fontId="0" fillId="0" borderId="3" xfId="0" applyNumberFormat="1" applyFill="1" applyBorder="1" applyAlignment="1">
      <alignment horizontal="center" vertical="center"/>
    </xf>
    <xf numFmtId="4" fontId="0" fillId="0" borderId="2" xfId="0" applyNumberFormat="1" applyFill="1" applyBorder="1" applyAlignment="1" applyProtection="1">
      <alignment horizontal="center" vertical="center"/>
    </xf>
    <xf numFmtId="4" fontId="0" fillId="0" borderId="3" xfId="0" applyNumberFormat="1" applyFill="1" applyBorder="1" applyAlignment="1" applyProtection="1">
      <alignment horizontal="center" vertical="center"/>
    </xf>
    <xf numFmtId="4" fontId="0" fillId="0" borderId="80" xfId="0" applyNumberFormat="1" applyFill="1" applyBorder="1" applyAlignment="1">
      <alignment horizontal="center" vertical="center"/>
    </xf>
    <xf numFmtId="4" fontId="0" fillId="0" borderId="81" xfId="0" applyNumberFormat="1" applyFill="1" applyBorder="1" applyAlignment="1">
      <alignment horizontal="center" vertical="center"/>
    </xf>
    <xf numFmtId="4" fontId="0" fillId="0" borderId="27" xfId="0" applyNumberFormat="1" applyFill="1" applyBorder="1" applyAlignment="1">
      <alignment horizontal="center" vertical="center"/>
    </xf>
    <xf numFmtId="4" fontId="0" fillId="0" borderId="29" xfId="0" applyNumberFormat="1" applyFill="1" applyBorder="1" applyAlignment="1">
      <alignment horizontal="center" vertical="center"/>
    </xf>
    <xf numFmtId="0" fontId="3" fillId="0" borderId="0" xfId="0" applyFont="1" applyBorder="1" applyAlignment="1">
      <alignment horizontal="center"/>
    </xf>
    <xf numFmtId="0" fontId="6" fillId="0" borderId="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0" xfId="0" applyFont="1" applyBorder="1" applyAlignment="1">
      <alignment horizontal="center" vertical="top" wrapText="1"/>
    </xf>
    <xf numFmtId="0" fontId="6" fillId="0" borderId="32" xfId="0" applyFont="1" applyBorder="1" applyAlignment="1">
      <alignment horizontal="center" vertical="top" wrapText="1"/>
    </xf>
    <xf numFmtId="0" fontId="3" fillId="0" borderId="0" xfId="0" applyFont="1" applyBorder="1" applyAlignment="1">
      <alignment horizontal="center" vertical="center"/>
    </xf>
    <xf numFmtId="0" fontId="3" fillId="0" borderId="32" xfId="0" applyFont="1" applyBorder="1" applyAlignment="1">
      <alignment horizontal="center" vertical="center"/>
    </xf>
    <xf numFmtId="4" fontId="0" fillId="0" borderId="31" xfId="0" applyNumberFormat="1" applyFill="1" applyBorder="1" applyAlignment="1" applyProtection="1">
      <alignment horizontal="center" vertical="center"/>
    </xf>
    <xf numFmtId="4" fontId="0" fillId="0" borderId="33" xfId="0" applyNumberFormat="1" applyFill="1" applyBorder="1" applyAlignment="1" applyProtection="1">
      <alignment horizontal="center" vertical="center"/>
    </xf>
    <xf numFmtId="4" fontId="0" fillId="0" borderId="31" xfId="0" applyNumberFormat="1" applyFill="1" applyBorder="1" applyAlignment="1">
      <alignment horizontal="center" vertical="center"/>
    </xf>
    <xf numFmtId="4" fontId="0" fillId="0" borderId="33" xfId="0" applyNumberFormat="1" applyFill="1" applyBorder="1" applyAlignment="1">
      <alignment horizontal="center" vertical="center"/>
    </xf>
    <xf numFmtId="4" fontId="0" fillId="0" borderId="27" xfId="0" applyNumberFormat="1" applyFill="1" applyBorder="1" applyAlignment="1" applyProtection="1">
      <alignment horizontal="center" vertical="center"/>
    </xf>
    <xf numFmtId="4" fontId="0" fillId="0" borderId="29" xfId="0" applyNumberFormat="1" applyFill="1" applyBorder="1" applyAlignment="1" applyProtection="1">
      <alignment horizontal="center" vertical="center"/>
    </xf>
    <xf numFmtId="10" fontId="0" fillId="7" borderId="2" xfId="2" applyNumberFormat="1" applyFont="1" applyFill="1" applyBorder="1" applyAlignment="1">
      <alignment horizontal="center"/>
    </xf>
    <xf numFmtId="10" fontId="0" fillId="7" borderId="3" xfId="2" applyNumberFormat="1" applyFont="1" applyFill="1" applyBorder="1" applyAlignment="1">
      <alignment horizontal="center"/>
    </xf>
    <xf numFmtId="10" fontId="0" fillId="9" borderId="80" xfId="2" applyNumberFormat="1" applyFont="1" applyFill="1" applyBorder="1" applyAlignment="1">
      <alignment horizontal="center"/>
    </xf>
    <xf numFmtId="10" fontId="0" fillId="9" borderId="81" xfId="2" applyNumberFormat="1" applyFont="1" applyFill="1" applyBorder="1" applyAlignment="1">
      <alignment horizontal="center"/>
    </xf>
    <xf numFmtId="10" fontId="0" fillId="9" borderId="80" xfId="0" applyNumberFormat="1" applyFill="1" applyBorder="1" applyAlignment="1">
      <alignment horizontal="center"/>
    </xf>
    <xf numFmtId="10" fontId="0" fillId="9" borderId="81" xfId="0" applyNumberFormat="1" applyFill="1" applyBorder="1" applyAlignment="1">
      <alignment horizontal="center"/>
    </xf>
    <xf numFmtId="2" fontId="0" fillId="8" borderId="80" xfId="0" applyNumberFormat="1" applyFont="1" applyFill="1" applyBorder="1" applyAlignment="1">
      <alignment horizontal="center" vertical="center"/>
    </xf>
    <xf numFmtId="2" fontId="0" fillId="8" borderId="81" xfId="0" applyNumberFormat="1" applyFont="1" applyFill="1" applyBorder="1" applyAlignment="1">
      <alignment horizontal="center" vertical="center"/>
    </xf>
    <xf numFmtId="4" fontId="0" fillId="9" borderId="80" xfId="0" applyNumberFormat="1" applyFill="1" applyBorder="1" applyAlignment="1">
      <alignment horizontal="center"/>
    </xf>
    <xf numFmtId="4" fontId="0" fillId="9" borderId="81" xfId="0" applyNumberFormat="1" applyFill="1" applyBorder="1" applyAlignment="1">
      <alignment horizontal="center"/>
    </xf>
    <xf numFmtId="2" fontId="3" fillId="8" borderId="80" xfId="0" applyNumberFormat="1" applyFont="1" applyFill="1" applyBorder="1" applyAlignment="1">
      <alignment horizontal="center" vertical="center"/>
    </xf>
    <xf numFmtId="2" fontId="3" fillId="8" borderId="81" xfId="0" applyNumberFormat="1" applyFont="1" applyFill="1" applyBorder="1" applyAlignment="1">
      <alignment horizontal="center" vertical="center"/>
    </xf>
    <xf numFmtId="4" fontId="0" fillId="5" borderId="80" xfId="0" applyNumberFormat="1" applyFill="1" applyBorder="1" applyAlignment="1" applyProtection="1">
      <alignment horizontal="center"/>
      <protection locked="0"/>
    </xf>
    <xf numFmtId="4" fontId="0" fillId="5" borderId="81" xfId="0" applyNumberFormat="1" applyFill="1" applyBorder="1" applyAlignment="1" applyProtection="1">
      <alignment horizontal="center"/>
      <protection locked="0"/>
    </xf>
    <xf numFmtId="0" fontId="6" fillId="0" borderId="32" xfId="0" applyFont="1" applyBorder="1" applyAlignment="1">
      <alignment horizontal="center"/>
    </xf>
    <xf numFmtId="2" fontId="3" fillId="8" borderId="80" xfId="0" applyNumberFormat="1" applyFont="1" applyFill="1" applyBorder="1" applyAlignment="1">
      <alignment horizontal="center"/>
    </xf>
    <xf numFmtId="2" fontId="3" fillId="8" borderId="81" xfId="0" applyNumberFormat="1" applyFont="1" applyFill="1" applyBorder="1" applyAlignment="1">
      <alignment horizontal="center"/>
    </xf>
    <xf numFmtId="0" fontId="0" fillId="0" borderId="0" xfId="0" applyBorder="1" applyAlignment="1">
      <alignment horizontal="center" vertical="center"/>
    </xf>
    <xf numFmtId="0" fontId="0" fillId="9" borderId="81" xfId="0" applyFill="1" applyBorder="1" applyAlignment="1">
      <alignment horizontal="center"/>
    </xf>
    <xf numFmtId="0" fontId="0" fillId="9" borderId="80" xfId="0" applyFill="1" applyBorder="1" applyAlignment="1">
      <alignment horizontal="center"/>
    </xf>
    <xf numFmtId="0" fontId="1" fillId="12" borderId="2" xfId="0" applyFont="1" applyFill="1" applyBorder="1" applyAlignment="1">
      <alignment horizontal="center"/>
    </xf>
    <xf numFmtId="0" fontId="1" fillId="12" borderId="3" xfId="0" applyFont="1" applyFill="1" applyBorder="1" applyAlignment="1">
      <alignment horizontal="center"/>
    </xf>
    <xf numFmtId="2" fontId="1" fillId="12" borderId="80" xfId="0" applyNumberFormat="1" applyFont="1" applyFill="1" applyBorder="1" applyAlignment="1">
      <alignment horizontal="center"/>
    </xf>
    <xf numFmtId="2" fontId="1" fillId="12" borderId="81" xfId="0" applyNumberFormat="1" applyFont="1" applyFill="1" applyBorder="1" applyAlignment="1">
      <alignment horizontal="center"/>
    </xf>
    <xf numFmtId="4" fontId="0" fillId="8" borderId="80" xfId="0" applyNumberFormat="1" applyFill="1" applyBorder="1" applyAlignment="1">
      <alignment horizontal="center" vertical="center"/>
    </xf>
    <xf numFmtId="4" fontId="0" fillId="8" borderId="81" xfId="0" applyNumberFormat="1" applyFill="1" applyBorder="1" applyAlignment="1">
      <alignment horizontal="center" vertical="center"/>
    </xf>
    <xf numFmtId="4" fontId="0" fillId="9" borderId="79" xfId="0" applyNumberFormat="1" applyFill="1" applyBorder="1" applyAlignment="1">
      <alignment horizontal="center"/>
    </xf>
    <xf numFmtId="4" fontId="0" fillId="9" borderId="86" xfId="0" applyNumberFormat="1" applyFill="1" applyBorder="1" applyAlignment="1">
      <alignment horizontal="center"/>
    </xf>
    <xf numFmtId="2" fontId="0" fillId="8" borderId="85" xfId="0" applyNumberFormat="1" applyFill="1" applyBorder="1" applyAlignment="1">
      <alignment horizontal="center" vertical="center"/>
    </xf>
    <xf numFmtId="2" fontId="0" fillId="8" borderId="81" xfId="0" applyNumberFormat="1" applyFill="1" applyBorder="1" applyAlignment="1">
      <alignment horizontal="center" vertical="center"/>
    </xf>
    <xf numFmtId="174" fontId="11" fillId="36" borderId="80" xfId="0" applyNumberFormat="1" applyFont="1" applyFill="1" applyBorder="1" applyAlignment="1">
      <alignment horizontal="center" vertical="center"/>
    </xf>
    <xf numFmtId="174" fontId="11" fillId="36" borderId="81" xfId="0" applyNumberFormat="1" applyFont="1" applyFill="1" applyBorder="1" applyAlignment="1">
      <alignment horizontal="center" vertical="center"/>
    </xf>
    <xf numFmtId="174" fontId="11" fillId="36" borderId="83" xfId="0" applyNumberFormat="1" applyFont="1" applyFill="1" applyBorder="1" applyAlignment="1">
      <alignment horizontal="center" vertical="center"/>
    </xf>
    <xf numFmtId="174" fontId="11" fillId="36" borderId="84" xfId="0" applyNumberFormat="1" applyFont="1" applyFill="1" applyBorder="1" applyAlignment="1">
      <alignment horizontal="center" vertical="center"/>
    </xf>
    <xf numFmtId="4" fontId="0" fillId="5" borderId="79" xfId="0" applyNumberFormat="1" applyFill="1" applyBorder="1" applyAlignment="1" applyProtection="1">
      <alignment horizontal="center"/>
      <protection locked="0"/>
    </xf>
    <xf numFmtId="0" fontId="0" fillId="0" borderId="50" xfId="0" applyFont="1" applyBorder="1" applyAlignment="1">
      <alignment horizontal="right"/>
    </xf>
    <xf numFmtId="0" fontId="0" fillId="0" borderId="49" xfId="0" applyFont="1" applyBorder="1" applyAlignment="1">
      <alignment horizontal="right"/>
    </xf>
    <xf numFmtId="0" fontId="0" fillId="0" borderId="78" xfId="0" applyFont="1" applyBorder="1" applyAlignment="1">
      <alignment horizontal="right"/>
    </xf>
    <xf numFmtId="4" fontId="0" fillId="9" borderId="76" xfId="0" applyNumberFormat="1" applyFill="1" applyBorder="1" applyAlignment="1">
      <alignment horizontal="center"/>
    </xf>
    <xf numFmtId="4" fontId="0" fillId="9" borderId="77" xfId="0" applyNumberFormat="1" applyFill="1" applyBorder="1" applyAlignment="1">
      <alignment horizontal="center"/>
    </xf>
    <xf numFmtId="0" fontId="0" fillId="8" borderId="80" xfId="0" applyFill="1" applyBorder="1" applyAlignment="1">
      <alignment horizontal="center"/>
    </xf>
    <xf numFmtId="0" fontId="0" fillId="8" borderId="81" xfId="0" applyFill="1" applyBorder="1" applyAlignment="1">
      <alignment horizontal="center"/>
    </xf>
    <xf numFmtId="0" fontId="0" fillId="0" borderId="88" xfId="0" applyBorder="1" applyAlignment="1">
      <alignment horizontal="center" vertical="center" wrapText="1"/>
    </xf>
    <xf numFmtId="0" fontId="0" fillId="0" borderId="50" xfId="0" applyBorder="1" applyAlignment="1">
      <alignment horizontal="right"/>
    </xf>
    <xf numFmtId="0" fontId="0" fillId="0" borderId="49" xfId="0" applyBorder="1" applyAlignment="1">
      <alignment horizontal="right"/>
    </xf>
    <xf numFmtId="0" fontId="0" fillId="0" borderId="78" xfId="0" applyBorder="1" applyAlignment="1">
      <alignment horizontal="right"/>
    </xf>
    <xf numFmtId="0" fontId="0" fillId="0" borderId="52" xfId="0" applyBorder="1" applyAlignment="1">
      <alignment horizontal="right"/>
    </xf>
    <xf numFmtId="0" fontId="0" fillId="0" borderId="0" xfId="0" applyBorder="1" applyAlignment="1">
      <alignment horizontal="right"/>
    </xf>
    <xf numFmtId="0" fontId="0" fillId="0" borderId="30" xfId="0" applyBorder="1" applyAlignment="1">
      <alignment horizontal="right"/>
    </xf>
    <xf numFmtId="0" fontId="0" fillId="0" borderId="88" xfId="0" applyBorder="1" applyAlignment="1">
      <alignment horizontal="center" vertical="center"/>
    </xf>
    <xf numFmtId="0" fontId="0" fillId="0" borderId="87" xfId="0" applyBorder="1" applyAlignment="1">
      <alignment horizontal="center" vertical="center"/>
    </xf>
    <xf numFmtId="0" fontId="0" fillId="5" borderId="83" xfId="0" applyFill="1" applyBorder="1" applyAlignment="1" applyProtection="1">
      <alignment horizontal="center" vertical="center"/>
      <protection locked="0"/>
    </xf>
    <xf numFmtId="0" fontId="0" fillId="5" borderId="84" xfId="0" applyFill="1" applyBorder="1" applyAlignment="1" applyProtection="1">
      <alignment horizontal="center" vertical="center"/>
      <protection locked="0"/>
    </xf>
    <xf numFmtId="0" fontId="0" fillId="5" borderId="80"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82" xfId="0" applyFill="1" applyBorder="1" applyAlignment="1" applyProtection="1">
      <alignment horizontal="center" vertical="center"/>
      <protection locked="0"/>
    </xf>
    <xf numFmtId="0" fontId="0" fillId="5" borderId="177" xfId="0" applyFill="1" applyBorder="1" applyAlignment="1" applyProtection="1">
      <alignment horizontal="center" vertical="center"/>
      <protection locked="0"/>
    </xf>
    <xf numFmtId="0" fontId="3" fillId="0" borderId="54"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52" xfId="0" applyFont="1" applyBorder="1" applyAlignment="1">
      <alignment horizontal="right"/>
    </xf>
    <xf numFmtId="0" fontId="0" fillId="0" borderId="0" xfId="0" applyFont="1" applyBorder="1" applyAlignment="1">
      <alignment horizontal="right"/>
    </xf>
    <xf numFmtId="0" fontId="0" fillId="0" borderId="30" xfId="0" applyFont="1" applyBorder="1" applyAlignment="1">
      <alignment horizontal="right"/>
    </xf>
    <xf numFmtId="0" fontId="12" fillId="0" borderId="54" xfId="0" applyFont="1" applyBorder="1" applyAlignment="1">
      <alignment horizontal="center" vertical="center"/>
    </xf>
    <xf numFmtId="0" fontId="12" fillId="0" borderId="71" xfId="0" applyFont="1" applyBorder="1" applyAlignment="1">
      <alignment horizontal="center" vertical="center"/>
    </xf>
    <xf numFmtId="0" fontId="4" fillId="0" borderId="0" xfId="0" applyFont="1" applyBorder="1" applyAlignment="1">
      <alignment horizontal="center" vertical="top" wrapText="1"/>
    </xf>
    <xf numFmtId="0" fontId="0" fillId="0" borderId="87" xfId="0" applyBorder="1" applyAlignment="1">
      <alignment horizontal="center" vertical="center" wrapText="1"/>
    </xf>
    <xf numFmtId="0" fontId="3" fillId="8" borderId="2" xfId="0" applyFont="1" applyFill="1" applyBorder="1" applyAlignment="1">
      <alignment horizontal="center"/>
    </xf>
    <xf numFmtId="0" fontId="3" fillId="8" borderId="3" xfId="0" applyFont="1" applyFill="1" applyBorder="1" applyAlignment="1">
      <alignment horizontal="center"/>
    </xf>
    <xf numFmtId="0" fontId="43" fillId="9" borderId="27" xfId="0" applyFont="1" applyFill="1" applyBorder="1" applyAlignment="1">
      <alignment horizontal="center" vertical="center" wrapText="1"/>
    </xf>
    <xf numFmtId="0" fontId="43" fillId="9" borderId="28" xfId="0" applyFont="1" applyFill="1" applyBorder="1" applyAlignment="1">
      <alignment horizontal="center" vertical="center" wrapText="1"/>
    </xf>
    <xf numFmtId="0" fontId="43" fillId="9" borderId="153" xfId="0" applyFont="1" applyFill="1" applyBorder="1" applyAlignment="1">
      <alignment horizontal="center" vertical="center" wrapText="1"/>
    </xf>
    <xf numFmtId="0" fontId="43" fillId="9" borderId="18" xfId="0" applyFont="1" applyFill="1" applyBorder="1" applyAlignment="1">
      <alignment horizontal="center" vertical="center" wrapText="1"/>
    </xf>
    <xf numFmtId="0" fontId="43" fillId="9" borderId="0" xfId="0" applyFont="1" applyFill="1" applyBorder="1" applyAlignment="1">
      <alignment horizontal="center" vertical="center" wrapText="1"/>
    </xf>
    <xf numFmtId="0" fontId="43" fillId="9" borderId="53" xfId="0" applyFont="1" applyFill="1" applyBorder="1" applyAlignment="1">
      <alignment horizontal="center" vertical="center" wrapText="1"/>
    </xf>
    <xf numFmtId="0" fontId="43" fillId="9" borderId="96" xfId="0" applyFont="1" applyFill="1" applyBorder="1" applyAlignment="1">
      <alignment horizontal="center" vertical="center" wrapText="1"/>
    </xf>
    <xf numFmtId="0" fontId="43" fillId="9" borderId="49" xfId="0" applyFont="1" applyFill="1" applyBorder="1" applyAlignment="1">
      <alignment horizontal="center" vertical="center" wrapText="1"/>
    </xf>
    <xf numFmtId="0" fontId="43" fillId="9" borderId="51" xfId="0" applyFont="1" applyFill="1" applyBorder="1" applyAlignment="1">
      <alignment horizontal="center" vertical="center" wrapText="1"/>
    </xf>
    <xf numFmtId="0" fontId="0" fillId="5" borderId="27" xfId="0" applyFont="1" applyFill="1" applyBorder="1" applyAlignment="1" applyProtection="1">
      <alignment horizontal="left" vertical="top"/>
      <protection locked="0"/>
    </xf>
    <xf numFmtId="0" fontId="0" fillId="5" borderId="28" xfId="0" applyFont="1" applyFill="1" applyBorder="1" applyAlignment="1" applyProtection="1">
      <alignment horizontal="left" vertical="top"/>
      <protection locked="0"/>
    </xf>
    <xf numFmtId="0" fontId="0" fillId="5" borderId="29" xfId="0" applyFont="1" applyFill="1" applyBorder="1" applyAlignment="1" applyProtection="1">
      <alignment horizontal="left" vertical="top"/>
      <protection locked="0"/>
    </xf>
    <xf numFmtId="0" fontId="0" fillId="5" borderId="18" xfId="0" applyFont="1" applyFill="1" applyBorder="1" applyAlignment="1" applyProtection="1">
      <alignment horizontal="left" vertical="top"/>
      <protection locked="0"/>
    </xf>
    <xf numFmtId="0" fontId="0" fillId="5" borderId="0" xfId="0" applyFont="1" applyFill="1" applyBorder="1" applyAlignment="1" applyProtection="1">
      <alignment horizontal="left" vertical="top"/>
      <protection locked="0"/>
    </xf>
    <xf numFmtId="0" fontId="0" fillId="5" borderId="30" xfId="0" applyFont="1" applyFill="1" applyBorder="1" applyAlignment="1" applyProtection="1">
      <alignment horizontal="left" vertical="top"/>
      <protection locked="0"/>
    </xf>
    <xf numFmtId="0" fontId="0" fillId="5" borderId="31" xfId="0" applyFont="1" applyFill="1" applyBorder="1" applyAlignment="1" applyProtection="1">
      <alignment horizontal="left" vertical="top"/>
      <protection locked="0"/>
    </xf>
    <xf numFmtId="0" fontId="0" fillId="5" borderId="32" xfId="0" applyFont="1" applyFill="1" applyBorder="1" applyAlignment="1" applyProtection="1">
      <alignment horizontal="left" vertical="top"/>
      <protection locked="0"/>
    </xf>
    <xf numFmtId="0" fontId="0" fillId="5" borderId="33" xfId="0" applyFont="1" applyFill="1" applyBorder="1" applyAlignment="1" applyProtection="1">
      <alignment horizontal="left" vertical="top"/>
      <protection locked="0"/>
    </xf>
    <xf numFmtId="0" fontId="11" fillId="0" borderId="0" xfId="0" applyFont="1" applyFill="1" applyBorder="1" applyAlignment="1">
      <alignment horizontal="center"/>
    </xf>
    <xf numFmtId="0" fontId="0" fillId="5" borderId="1" xfId="0" applyFill="1" applyBorder="1" applyAlignment="1" applyProtection="1">
      <alignment horizontal="center"/>
      <protection locked="0"/>
    </xf>
    <xf numFmtId="0" fontId="0" fillId="0" borderId="0" xfId="0" applyBorder="1" applyAlignment="1">
      <alignment horizontal="center"/>
    </xf>
    <xf numFmtId="0" fontId="0" fillId="5" borderId="85" xfId="0" applyFill="1" applyBorder="1" applyAlignment="1" applyProtection="1">
      <alignment horizontal="center"/>
      <protection locked="0"/>
    </xf>
    <xf numFmtId="0" fontId="4" fillId="0" borderId="0" xfId="0" applyFont="1" applyBorder="1" applyAlignment="1">
      <alignment horizontal="left" vertical="top" wrapText="1"/>
    </xf>
    <xf numFmtId="10" fontId="0" fillId="7" borderId="80" xfId="0" applyNumberFormat="1" applyFill="1" applyBorder="1" applyAlignment="1">
      <alignment horizontal="center"/>
    </xf>
    <xf numFmtId="10" fontId="0" fillId="7" borderId="81" xfId="0" applyNumberFormat="1" applyFill="1" applyBorder="1" applyAlignment="1">
      <alignment horizontal="center"/>
    </xf>
    <xf numFmtId="0" fontId="3" fillId="8" borderId="81" xfId="0" applyFont="1" applyFill="1" applyBorder="1" applyAlignment="1">
      <alignment horizontal="center"/>
    </xf>
    <xf numFmtId="0" fontId="43" fillId="0" borderId="154" xfId="0" applyFont="1" applyBorder="1" applyAlignment="1">
      <alignment horizontal="center" vertical="center" wrapText="1"/>
    </xf>
    <xf numFmtId="0" fontId="43" fillId="0" borderId="106" xfId="0" applyFont="1" applyBorder="1" applyAlignment="1">
      <alignment horizontal="center" vertical="center" wrapText="1"/>
    </xf>
    <xf numFmtId="0" fontId="43" fillId="0" borderId="108" xfId="0" applyFont="1" applyBorder="1" applyAlignment="1">
      <alignment horizontal="center" vertical="center" wrapText="1"/>
    </xf>
    <xf numFmtId="0" fontId="43" fillId="7" borderId="27" xfId="0" applyFont="1" applyFill="1" applyBorder="1" applyAlignment="1">
      <alignment horizontal="center" vertical="center" wrapText="1"/>
    </xf>
    <xf numFmtId="0" fontId="43" fillId="7" borderId="28" xfId="0" applyFont="1" applyFill="1" applyBorder="1" applyAlignment="1">
      <alignment horizontal="center" vertical="center" wrapText="1"/>
    </xf>
    <xf numFmtId="0" fontId="43" fillId="7" borderId="29" xfId="0" applyFont="1" applyFill="1" applyBorder="1" applyAlignment="1">
      <alignment horizontal="center" vertical="center" wrapText="1"/>
    </xf>
    <xf numFmtId="0" fontId="43" fillId="7" borderId="18" xfId="0" applyFont="1" applyFill="1" applyBorder="1" applyAlignment="1">
      <alignment horizontal="center" vertical="center" wrapText="1"/>
    </xf>
    <xf numFmtId="0" fontId="43" fillId="7" borderId="0" xfId="0" applyFont="1" applyFill="1" applyBorder="1" applyAlignment="1">
      <alignment horizontal="center" vertical="center" wrapText="1"/>
    </xf>
    <xf numFmtId="0" fontId="43" fillId="7" borderId="30" xfId="0" applyFont="1" applyFill="1" applyBorder="1" applyAlignment="1">
      <alignment horizontal="center" vertical="center" wrapText="1"/>
    </xf>
    <xf numFmtId="0" fontId="43" fillId="7" borderId="96" xfId="0" applyFont="1" applyFill="1" applyBorder="1" applyAlignment="1">
      <alignment horizontal="center" vertical="center" wrapText="1"/>
    </xf>
    <xf numFmtId="0" fontId="43" fillId="7" borderId="49" xfId="0" applyFont="1" applyFill="1" applyBorder="1" applyAlignment="1">
      <alignment horizontal="center" vertical="center" wrapText="1"/>
    </xf>
    <xf numFmtId="0" fontId="43" fillId="7" borderId="78" xfId="0" applyFont="1" applyFill="1" applyBorder="1" applyAlignment="1">
      <alignment horizontal="center" vertical="center" wrapText="1"/>
    </xf>
    <xf numFmtId="2" fontId="0" fillId="8" borderId="80" xfId="0" applyNumberFormat="1" applyFill="1" applyBorder="1" applyAlignment="1">
      <alignment horizontal="center" vertical="center"/>
    </xf>
    <xf numFmtId="0" fontId="0" fillId="0" borderId="52" xfId="0" applyBorder="1" applyAlignment="1">
      <alignment horizontal="right" vertical="center" wrapText="1"/>
    </xf>
    <xf numFmtId="0" fontId="0" fillId="0" borderId="0" xfId="0" applyBorder="1" applyAlignment="1">
      <alignment horizontal="right" vertical="center"/>
    </xf>
    <xf numFmtId="0" fontId="0" fillId="0" borderId="50" xfId="0" applyBorder="1" applyAlignment="1">
      <alignment horizontal="right" vertical="center"/>
    </xf>
    <xf numFmtId="0" fontId="0" fillId="0" borderId="49" xfId="0" applyBorder="1" applyAlignment="1">
      <alignment horizontal="right" vertical="center"/>
    </xf>
    <xf numFmtId="0" fontId="0" fillId="35" borderId="18" xfId="0" applyFill="1" applyBorder="1" applyAlignment="1" applyProtection="1">
      <alignment horizontal="center" vertical="center"/>
      <protection locked="0"/>
    </xf>
    <xf numFmtId="0" fontId="0" fillId="35" borderId="30" xfId="0" applyFill="1" applyBorder="1" applyAlignment="1" applyProtection="1">
      <alignment horizontal="center" vertical="center"/>
      <protection locked="0"/>
    </xf>
    <xf numFmtId="0" fontId="0" fillId="35" borderId="96" xfId="0" applyFill="1" applyBorder="1" applyAlignment="1" applyProtection="1">
      <alignment horizontal="center" vertical="center"/>
      <protection locked="0"/>
    </xf>
    <xf numFmtId="0" fontId="0" fillId="35" borderId="78" xfId="0" applyFill="1" applyBorder="1" applyAlignment="1" applyProtection="1">
      <alignment horizontal="center" vertical="center"/>
      <protection locked="0"/>
    </xf>
    <xf numFmtId="0" fontId="43" fillId="0" borderId="121" xfId="0" applyFont="1" applyBorder="1" applyAlignment="1">
      <alignment horizontal="center" vertical="center" wrapText="1"/>
    </xf>
    <xf numFmtId="4" fontId="3" fillId="8" borderId="80" xfId="0" applyNumberFormat="1" applyFont="1" applyFill="1" applyBorder="1" applyAlignment="1">
      <alignment horizontal="center" vertical="center"/>
    </xf>
    <xf numFmtId="4" fontId="3" fillId="8" borderId="81" xfId="0" applyNumberFormat="1" applyFont="1" applyFill="1" applyBorder="1" applyAlignment="1">
      <alignment horizontal="center" vertical="center"/>
    </xf>
    <xf numFmtId="0" fontId="44" fillId="0" borderId="32" xfId="0" applyFont="1" applyBorder="1" applyAlignment="1">
      <alignment horizontal="center"/>
    </xf>
    <xf numFmtId="1" fontId="0" fillId="9" borderId="79" xfId="0" applyNumberFormat="1" applyFill="1" applyBorder="1" applyAlignment="1">
      <alignment horizontal="center"/>
    </xf>
    <xf numFmtId="2" fontId="0" fillId="9" borderId="80" xfId="0" applyNumberFormat="1" applyFill="1" applyBorder="1" applyAlignment="1">
      <alignment horizontal="center"/>
    </xf>
    <xf numFmtId="2" fontId="0" fillId="9" borderId="81" xfId="0" applyNumberFormat="1" applyFill="1" applyBorder="1" applyAlignment="1">
      <alignment horizontal="center"/>
    </xf>
    <xf numFmtId="0" fontId="0" fillId="0" borderId="0" xfId="0" applyFill="1" applyBorder="1" applyAlignment="1">
      <alignment horizontal="center" vertical="center"/>
    </xf>
    <xf numFmtId="0" fontId="3" fillId="0" borderId="31" xfId="0" applyFont="1" applyFill="1" applyBorder="1" applyAlignment="1">
      <alignment horizontal="center"/>
    </xf>
    <xf numFmtId="0" fontId="3" fillId="0" borderId="32" xfId="0" applyFont="1" applyFill="1" applyBorder="1" applyAlignment="1">
      <alignment horizontal="center"/>
    </xf>
    <xf numFmtId="4" fontId="0" fillId="8" borderId="80" xfId="0" applyNumberFormat="1" applyFont="1" applyFill="1" applyBorder="1" applyAlignment="1">
      <alignment horizontal="center"/>
    </xf>
    <xf numFmtId="4" fontId="0" fillId="8" borderId="81" xfId="0" applyNumberFormat="1" applyFont="1" applyFill="1" applyBorder="1" applyAlignment="1">
      <alignment horizontal="center"/>
    </xf>
    <xf numFmtId="0" fontId="0" fillId="8" borderId="80" xfId="0" applyFill="1" applyBorder="1" applyAlignment="1">
      <alignment horizontal="center" vertical="center"/>
    </xf>
    <xf numFmtId="0" fontId="0" fillId="8" borderId="81" xfId="0" applyFill="1" applyBorder="1" applyAlignment="1">
      <alignment horizontal="center" vertical="center"/>
    </xf>
    <xf numFmtId="0" fontId="3" fillId="0" borderId="32" xfId="0" applyFont="1" applyBorder="1" applyAlignment="1">
      <alignment horizontal="center"/>
    </xf>
    <xf numFmtId="0" fontId="3" fillId="8" borderId="80" xfId="0" applyFont="1" applyFill="1" applyBorder="1" applyAlignment="1">
      <alignment horizontal="center" vertical="center"/>
    </xf>
    <xf numFmtId="0" fontId="3" fillId="8" borderId="81" xfId="0" applyFont="1" applyFill="1" applyBorder="1" applyAlignment="1">
      <alignment horizontal="center" vertical="center"/>
    </xf>
    <xf numFmtId="0" fontId="0" fillId="0" borderId="32" xfId="0" applyFill="1" applyBorder="1" applyAlignment="1">
      <alignment horizontal="center" vertical="center"/>
    </xf>
    <xf numFmtId="2" fontId="1" fillId="12" borderId="18" xfId="0" applyNumberFormat="1" applyFont="1" applyFill="1" applyBorder="1" applyAlignment="1">
      <alignment horizontal="center"/>
    </xf>
    <xf numFmtId="2" fontId="1" fillId="12" borderId="0" xfId="0" applyNumberFormat="1" applyFont="1" applyFill="1" applyBorder="1" applyAlignment="1">
      <alignment horizontal="center"/>
    </xf>
    <xf numFmtId="0" fontId="0" fillId="0" borderId="108" xfId="0" applyBorder="1" applyAlignment="1">
      <alignment horizontal="center" vertical="center"/>
    </xf>
    <xf numFmtId="0" fontId="0" fillId="7" borderId="81" xfId="0" applyFill="1" applyBorder="1" applyAlignment="1">
      <alignment horizontal="center"/>
    </xf>
    <xf numFmtId="2" fontId="0" fillId="8" borderId="80" xfId="0" applyNumberFormat="1" applyFill="1" applyBorder="1" applyAlignment="1">
      <alignment horizontal="center"/>
    </xf>
    <xf numFmtId="2" fontId="0" fillId="8" borderId="81" xfId="0" applyNumberFormat="1" applyFill="1" applyBorder="1" applyAlignment="1">
      <alignment horizontal="center"/>
    </xf>
    <xf numFmtId="0" fontId="0" fillId="5" borderId="31" xfId="0" applyFill="1" applyBorder="1" applyAlignment="1" applyProtection="1">
      <alignment horizontal="center"/>
      <protection locked="0"/>
    </xf>
    <xf numFmtId="0" fontId="0" fillId="5" borderId="33" xfId="0" applyFill="1" applyBorder="1" applyAlignment="1" applyProtection="1">
      <alignment horizontal="center"/>
      <protection locked="0"/>
    </xf>
    <xf numFmtId="10" fontId="0" fillId="9" borderId="79" xfId="0" applyNumberFormat="1" applyFill="1" applyBorder="1" applyAlignment="1">
      <alignment horizontal="center"/>
    </xf>
    <xf numFmtId="0" fontId="30" fillId="0" borderId="32" xfId="0" applyFont="1" applyBorder="1" applyAlignment="1">
      <alignment horizontal="center"/>
    </xf>
    <xf numFmtId="0" fontId="0" fillId="9" borderId="79" xfId="0" applyFill="1" applyBorder="1" applyAlignment="1">
      <alignment horizontal="center"/>
    </xf>
    <xf numFmtId="0" fontId="0" fillId="0" borderId="44" xfId="0" applyBorder="1" applyAlignment="1">
      <alignment horizontal="left" vertical="top" wrapText="1"/>
    </xf>
    <xf numFmtId="0" fontId="0" fillId="0" borderId="46" xfId="0" applyBorder="1" applyAlignment="1">
      <alignment horizontal="left" vertical="top" wrapText="1"/>
    </xf>
    <xf numFmtId="2" fontId="0" fillId="5" borderId="80" xfId="0" applyNumberFormat="1" applyFill="1" applyBorder="1" applyAlignment="1" applyProtection="1">
      <alignment horizontal="center"/>
      <protection locked="0"/>
    </xf>
    <xf numFmtId="2" fontId="0" fillId="5" borderId="81" xfId="0" applyNumberFormat="1" applyFill="1" applyBorder="1" applyAlignment="1" applyProtection="1">
      <alignment horizontal="center"/>
      <protection locked="0"/>
    </xf>
    <xf numFmtId="0" fontId="0" fillId="5" borderId="79" xfId="0" applyFill="1" applyBorder="1" applyAlignment="1" applyProtection="1">
      <alignment horizontal="center"/>
      <protection locked="0"/>
    </xf>
    <xf numFmtId="10" fontId="0" fillId="9" borderId="144" xfId="0" applyNumberFormat="1" applyFill="1" applyBorder="1" applyAlignment="1">
      <alignment horizontal="center"/>
    </xf>
    <xf numFmtId="171" fontId="0" fillId="9" borderId="80" xfId="0" applyNumberFormat="1" applyFill="1" applyBorder="1" applyAlignment="1">
      <alignment horizontal="center"/>
    </xf>
    <xf numFmtId="171" fontId="0" fillId="9" borderId="81" xfId="0" applyNumberFormat="1" applyFill="1" applyBorder="1" applyAlignment="1">
      <alignment horizontal="center"/>
    </xf>
    <xf numFmtId="2" fontId="0" fillId="9" borderId="79" xfId="0" applyNumberFormat="1" applyFill="1" applyBorder="1" applyAlignment="1">
      <alignment horizontal="center"/>
    </xf>
    <xf numFmtId="0" fontId="0" fillId="0" borderId="18" xfId="0" applyFill="1" applyBorder="1" applyAlignment="1">
      <alignment horizontal="center" vertical="center"/>
    </xf>
    <xf numFmtId="0" fontId="12" fillId="0" borderId="0" xfId="0" applyFont="1" applyFill="1" applyBorder="1" applyAlignment="1">
      <alignment horizontal="center"/>
    </xf>
    <xf numFmtId="0" fontId="0" fillId="9" borderId="27" xfId="0" applyFill="1" applyBorder="1" applyAlignment="1">
      <alignment horizontal="center"/>
    </xf>
    <xf numFmtId="0" fontId="0" fillId="9" borderId="29" xfId="0" applyFill="1" applyBorder="1" applyAlignment="1">
      <alignment horizont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0" fillId="0" borderId="31" xfId="0" applyFill="1" applyBorder="1" applyAlignment="1">
      <alignment horizontal="center" vertical="center"/>
    </xf>
    <xf numFmtId="0" fontId="6" fillId="0" borderId="89" xfId="0" applyFont="1" applyBorder="1" applyAlignment="1">
      <alignment horizontal="center"/>
    </xf>
    <xf numFmtId="0" fontId="44" fillId="0" borderId="0" xfId="0" applyFont="1" applyBorder="1" applyAlignment="1">
      <alignment horizontal="center"/>
    </xf>
    <xf numFmtId="0" fontId="0" fillId="9" borderId="85" xfId="0" applyFill="1" applyBorder="1" applyAlignment="1">
      <alignment horizontal="center"/>
    </xf>
    <xf numFmtId="2" fontId="0" fillId="9" borderId="27" xfId="0" applyNumberFormat="1" applyFill="1" applyBorder="1" applyAlignment="1">
      <alignment horizontal="center"/>
    </xf>
    <xf numFmtId="2" fontId="0" fillId="9" borderId="29" xfId="0" applyNumberFormat="1" applyFill="1" applyBorder="1" applyAlignment="1">
      <alignment horizontal="center"/>
    </xf>
    <xf numFmtId="0" fontId="0" fillId="5" borderId="80" xfId="0" applyFill="1" applyBorder="1" applyAlignment="1" applyProtection="1">
      <alignment horizontal="left" vertical="center"/>
      <protection locked="0"/>
    </xf>
    <xf numFmtId="0" fontId="0" fillId="5" borderId="85" xfId="0" applyFill="1" applyBorder="1" applyAlignment="1" applyProtection="1">
      <alignment horizontal="left" vertical="center"/>
      <protection locked="0"/>
    </xf>
    <xf numFmtId="0" fontId="0" fillId="5" borderId="81" xfId="0" applyFill="1" applyBorder="1" applyAlignment="1" applyProtection="1">
      <alignment horizontal="left" vertical="center"/>
      <protection locked="0"/>
    </xf>
    <xf numFmtId="0" fontId="0" fillId="5" borderId="27" xfId="0" applyFill="1" applyBorder="1" applyAlignment="1" applyProtection="1">
      <alignment horizontal="left" vertical="top" wrapText="1"/>
      <protection locked="0"/>
    </xf>
    <xf numFmtId="0" fontId="0" fillId="5" borderId="28" xfId="0" applyFill="1" applyBorder="1" applyAlignment="1" applyProtection="1">
      <alignment horizontal="left" vertical="top" wrapText="1"/>
      <protection locked="0"/>
    </xf>
    <xf numFmtId="0" fontId="0" fillId="5" borderId="29" xfId="0" applyFill="1" applyBorder="1" applyAlignment="1" applyProtection="1">
      <alignment horizontal="left" vertical="top" wrapText="1"/>
      <protection locked="0"/>
    </xf>
    <xf numFmtId="0" fontId="0" fillId="5" borderId="18" xfId="0"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30" xfId="0" applyFill="1" applyBorder="1" applyAlignment="1" applyProtection="1">
      <alignment horizontal="left" vertical="top" wrapText="1"/>
      <protection locked="0"/>
    </xf>
    <xf numFmtId="0" fontId="0" fillId="5" borderId="31" xfId="0" applyFill="1" applyBorder="1" applyAlignment="1" applyProtection="1">
      <alignment horizontal="left" vertical="top" wrapText="1"/>
      <protection locked="0"/>
    </xf>
    <xf numFmtId="0" fontId="0" fillId="5" borderId="32" xfId="0" applyFill="1" applyBorder="1" applyAlignment="1" applyProtection="1">
      <alignment horizontal="left" vertical="top" wrapText="1"/>
      <protection locked="0"/>
    </xf>
    <xf numFmtId="0" fontId="0" fillId="5" borderId="33" xfId="0" applyFill="1" applyBorder="1" applyAlignment="1" applyProtection="1">
      <alignment horizontal="left" vertical="top" wrapText="1"/>
      <protection locked="0"/>
    </xf>
    <xf numFmtId="0" fontId="4" fillId="0" borderId="0" xfId="0" quotePrefix="1" applyFont="1" applyBorder="1" applyAlignment="1">
      <alignment horizontal="left" vertical="top" wrapText="1"/>
    </xf>
    <xf numFmtId="4" fontId="0" fillId="8" borderId="80" xfId="0" applyNumberFormat="1" applyFill="1" applyBorder="1" applyAlignment="1">
      <alignment horizontal="center"/>
    </xf>
    <xf numFmtId="4" fontId="0" fillId="8" borderId="81" xfId="0" applyNumberFormat="1" applyFill="1" applyBorder="1" applyAlignment="1">
      <alignment horizontal="center"/>
    </xf>
    <xf numFmtId="0" fontId="0" fillId="5" borderId="27" xfId="0" applyFill="1" applyBorder="1" applyAlignment="1" applyProtection="1">
      <alignment horizontal="center"/>
      <protection locked="0"/>
    </xf>
    <xf numFmtId="0" fontId="0" fillId="5" borderId="29" xfId="0" applyFill="1" applyBorder="1" applyAlignment="1" applyProtection="1">
      <alignment horizontal="center"/>
      <protection locked="0"/>
    </xf>
    <xf numFmtId="4" fontId="3" fillId="0" borderId="0" xfId="0" applyNumberFormat="1" applyFont="1" applyBorder="1" applyAlignment="1">
      <alignment horizontal="center"/>
    </xf>
    <xf numFmtId="4" fontId="24" fillId="11" borderId="80" xfId="0" applyNumberFormat="1" applyFont="1" applyFill="1" applyBorder="1" applyAlignment="1">
      <alignment horizontal="center"/>
    </xf>
    <xf numFmtId="4" fontId="24" fillId="11" borderId="81" xfId="0" applyNumberFormat="1" applyFont="1" applyFill="1" applyBorder="1" applyAlignment="1">
      <alignment horizontal="center"/>
    </xf>
    <xf numFmtId="2" fontId="24" fillId="11" borderId="80" xfId="0" applyNumberFormat="1" applyFont="1" applyFill="1" applyBorder="1" applyAlignment="1">
      <alignment horizontal="center"/>
    </xf>
    <xf numFmtId="2" fontId="24" fillId="11" borderId="81" xfId="0" applyNumberFormat="1" applyFont="1" applyFill="1" applyBorder="1" applyAlignment="1">
      <alignment horizontal="center"/>
    </xf>
    <xf numFmtId="2" fontId="24" fillId="0" borderId="2" xfId="0" applyNumberFormat="1" applyFont="1" applyBorder="1" applyAlignment="1">
      <alignment horizontal="center"/>
    </xf>
    <xf numFmtId="2" fontId="24" fillId="0" borderId="3" xfId="0" applyNumberFormat="1" applyFont="1" applyBorder="1" applyAlignment="1">
      <alignment horizontal="center"/>
    </xf>
    <xf numFmtId="0" fontId="3" fillId="0" borderId="20" xfId="0" applyFont="1" applyBorder="1" applyAlignment="1">
      <alignment horizontal="center"/>
    </xf>
    <xf numFmtId="2" fontId="24" fillId="11" borderId="80" xfId="0" quotePrefix="1" applyNumberFormat="1" applyFont="1" applyFill="1" applyBorder="1" applyAlignment="1">
      <alignment horizontal="center"/>
    </xf>
    <xf numFmtId="2" fontId="3" fillId="0" borderId="0" xfId="0" applyNumberFormat="1" applyFont="1" applyBorder="1" applyAlignment="1">
      <alignment horizontal="center"/>
    </xf>
    <xf numFmtId="0" fontId="25" fillId="0" borderId="0" xfId="0" applyFont="1" applyBorder="1" applyAlignment="1">
      <alignment horizontal="center" vertical="center"/>
    </xf>
    <xf numFmtId="1" fontId="0" fillId="0" borderId="28" xfId="0" applyNumberFormat="1" applyBorder="1" applyAlignment="1">
      <alignment horizontal="center"/>
    </xf>
    <xf numFmtId="0" fontId="3" fillId="0" borderId="74" xfId="0" applyFont="1" applyBorder="1" applyAlignment="1">
      <alignment horizontal="center"/>
    </xf>
    <xf numFmtId="4" fontId="0" fillId="0" borderId="2" xfId="0" applyNumberFormat="1" applyBorder="1" applyAlignment="1">
      <alignment horizontal="center"/>
    </xf>
    <xf numFmtId="4" fontId="0" fillId="0" borderId="3" xfId="0" applyNumberFormat="1" applyBorder="1" applyAlignment="1">
      <alignment horizontal="center"/>
    </xf>
    <xf numFmtId="1" fontId="0" fillId="0" borderId="0" xfId="0" applyNumberFormat="1" applyBorder="1" applyAlignment="1">
      <alignment horizontal="center"/>
    </xf>
    <xf numFmtId="4" fontId="3" fillId="0" borderId="80" xfId="0" applyNumberFormat="1" applyFont="1" applyBorder="1" applyAlignment="1">
      <alignment horizontal="center"/>
    </xf>
    <xf numFmtId="4" fontId="3" fillId="0" borderId="81" xfId="0" applyNumberFormat="1" applyFont="1" applyBorder="1" applyAlignment="1">
      <alignment horizontal="center"/>
    </xf>
    <xf numFmtId="2" fontId="0" fillId="0" borderId="2" xfId="0" applyNumberFormat="1" applyBorder="1" applyAlignment="1">
      <alignment horizontal="center"/>
    </xf>
    <xf numFmtId="2" fontId="0" fillId="0" borderId="3" xfId="0" applyNumberFormat="1" applyBorder="1" applyAlignment="1">
      <alignment horizontal="center"/>
    </xf>
    <xf numFmtId="2" fontId="24" fillId="0" borderId="80" xfId="0" applyNumberFormat="1" applyFont="1" applyBorder="1" applyAlignment="1">
      <alignment horizontal="center"/>
    </xf>
    <xf numFmtId="2" fontId="24" fillId="0" borderId="81" xfId="0" applyNumberFormat="1" applyFont="1" applyBorder="1" applyAlignment="1">
      <alignment horizontal="center"/>
    </xf>
    <xf numFmtId="2" fontId="0" fillId="0" borderId="80" xfId="0" applyNumberFormat="1" applyBorder="1" applyAlignment="1">
      <alignment horizontal="center"/>
    </xf>
    <xf numFmtId="2" fontId="0" fillId="0" borderId="81" xfId="0" applyNumberFormat="1" applyBorder="1" applyAlignment="1">
      <alignment horizontal="center"/>
    </xf>
    <xf numFmtId="14" fontId="0" fillId="0" borderId="80" xfId="0" applyNumberFormat="1" applyBorder="1" applyAlignment="1" applyProtection="1">
      <alignment horizontal="center" vertical="center"/>
      <protection locked="0"/>
    </xf>
    <xf numFmtId="14" fontId="0" fillId="0" borderId="81" xfId="0" applyNumberFormat="1" applyBorder="1" applyAlignment="1" applyProtection="1">
      <alignment horizontal="center" vertical="center"/>
      <protection locked="0"/>
    </xf>
    <xf numFmtId="0" fontId="1" fillId="2" borderId="0" xfId="0" applyFont="1" applyFill="1" applyBorder="1" applyAlignment="1">
      <alignment horizontal="center"/>
    </xf>
    <xf numFmtId="0" fontId="1" fillId="2" borderId="0" xfId="0" applyFont="1" applyFill="1" applyBorder="1" applyAlignment="1">
      <alignment horizontal="center" vertical="center" textRotation="180"/>
    </xf>
    <xf numFmtId="0" fontId="1" fillId="2" borderId="0" xfId="0" applyFont="1" applyFill="1" applyBorder="1" applyAlignment="1">
      <alignment horizontal="center" vertical="center" textRotation="180" wrapText="1"/>
    </xf>
    <xf numFmtId="0" fontId="47" fillId="0" borderId="144" xfId="0" applyFont="1" applyBorder="1" applyAlignment="1">
      <alignment horizontal="center" vertical="center" wrapText="1"/>
    </xf>
    <xf numFmtId="0" fontId="18" fillId="0" borderId="27" xfId="0" applyFont="1" applyBorder="1" applyAlignment="1">
      <alignment horizontal="center"/>
    </xf>
    <xf numFmtId="0" fontId="18" fillId="0" borderId="28" xfId="0" applyFont="1" applyBorder="1" applyAlignment="1">
      <alignment horizontal="center"/>
    </xf>
    <xf numFmtId="0" fontId="18" fillId="0" borderId="29" xfId="0" applyFont="1" applyBorder="1" applyAlignment="1">
      <alignment horizontal="center"/>
    </xf>
    <xf numFmtId="0" fontId="18" fillId="0" borderId="18" xfId="0" applyFont="1" applyBorder="1" applyAlignment="1">
      <alignment horizontal="center"/>
    </xf>
    <xf numFmtId="0" fontId="18" fillId="0" borderId="0" xfId="0" applyFont="1" applyBorder="1" applyAlignment="1">
      <alignment horizontal="center"/>
    </xf>
    <xf numFmtId="0" fontId="18" fillId="0" borderId="30" xfId="0" applyFont="1" applyBorder="1" applyAlignment="1">
      <alignment horizontal="center"/>
    </xf>
    <xf numFmtId="0" fontId="18" fillId="0" borderId="31" xfId="0" applyFont="1" applyBorder="1" applyAlignment="1">
      <alignment horizontal="center"/>
    </xf>
    <xf numFmtId="0" fontId="18" fillId="0" borderId="32" xfId="0" applyFont="1" applyBorder="1" applyAlignment="1">
      <alignment horizontal="center"/>
    </xf>
    <xf numFmtId="0" fontId="18" fillId="0" borderId="33" xfId="0" applyFont="1"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0" fillId="0" borderId="112" xfId="0" applyBorder="1" applyAlignment="1">
      <alignment horizontal="center"/>
    </xf>
    <xf numFmtId="0" fontId="4" fillId="0" borderId="0" xfId="0" applyFont="1" applyAlignment="1">
      <alignment horizontal="left" vertical="center" wrapText="1"/>
    </xf>
    <xf numFmtId="0" fontId="3" fillId="5" borderId="124" xfId="0" applyFont="1" applyFill="1" applyBorder="1" applyAlignment="1">
      <alignment horizontal="center"/>
    </xf>
    <xf numFmtId="0" fontId="3" fillId="5" borderId="106" xfId="0" applyFont="1" applyFill="1" applyBorder="1" applyAlignment="1">
      <alignment horizontal="center"/>
    </xf>
    <xf numFmtId="0" fontId="3" fillId="5" borderId="121" xfId="0" applyFont="1" applyFill="1" applyBorder="1" applyAlignment="1">
      <alignment horizontal="center"/>
    </xf>
    <xf numFmtId="0" fontId="3" fillId="15" borderId="120" xfId="0" applyFont="1" applyFill="1" applyBorder="1" applyAlignment="1">
      <alignment horizontal="center"/>
    </xf>
    <xf numFmtId="0" fontId="3" fillId="15" borderId="106" xfId="0" applyFont="1" applyFill="1" applyBorder="1" applyAlignment="1">
      <alignment horizontal="center"/>
    </xf>
    <xf numFmtId="0" fontId="3" fillId="15" borderId="125" xfId="0" applyFont="1" applyFill="1" applyBorder="1" applyAlignment="1">
      <alignment horizontal="center"/>
    </xf>
    <xf numFmtId="0" fontId="33" fillId="0" borderId="110" xfId="0" applyFont="1" applyBorder="1" applyAlignment="1">
      <alignment horizontal="center"/>
    </xf>
    <xf numFmtId="0" fontId="33" fillId="0" borderId="111" xfId="0" applyFont="1" applyBorder="1" applyAlignment="1">
      <alignment horizontal="center"/>
    </xf>
    <xf numFmtId="0" fontId="33" fillId="0" borderId="112" xfId="0" applyFont="1" applyBorder="1" applyAlignment="1">
      <alignment horizontal="center"/>
    </xf>
    <xf numFmtId="0" fontId="34" fillId="0" borderId="110" xfId="0" applyFont="1" applyBorder="1" applyAlignment="1">
      <alignment horizontal="center"/>
    </xf>
    <xf numFmtId="0" fontId="34" fillId="0" borderId="111" xfId="0" applyFont="1" applyBorder="1" applyAlignment="1">
      <alignment horizontal="center"/>
    </xf>
    <xf numFmtId="0" fontId="34" fillId="0" borderId="112" xfId="0" applyFont="1" applyBorder="1" applyAlignment="1">
      <alignment horizontal="center"/>
    </xf>
    <xf numFmtId="0" fontId="35" fillId="17" borderId="124" xfId="0" applyFont="1" applyFill="1" applyBorder="1" applyAlignment="1">
      <alignment horizontal="center"/>
    </xf>
    <xf numFmtId="0" fontId="35" fillId="17" borderId="106" xfId="0" applyFont="1" applyFill="1" applyBorder="1" applyAlignment="1">
      <alignment horizontal="center"/>
    </xf>
    <xf numFmtId="0" fontId="35" fillId="17" borderId="121" xfId="0" applyFont="1" applyFill="1" applyBorder="1" applyAlignment="1">
      <alignment horizontal="center"/>
    </xf>
    <xf numFmtId="0" fontId="35" fillId="10" borderId="120" xfId="0" applyFont="1" applyFill="1" applyBorder="1" applyAlignment="1">
      <alignment horizontal="center"/>
    </xf>
    <xf numFmtId="0" fontId="35" fillId="10" borderId="106" xfId="0" applyFont="1" applyFill="1" applyBorder="1" applyAlignment="1">
      <alignment horizontal="center"/>
    </xf>
    <xf numFmtId="0" fontId="35" fillId="10" borderId="125" xfId="0" applyFont="1" applyFill="1" applyBorder="1" applyAlignment="1">
      <alignment horizontal="center"/>
    </xf>
    <xf numFmtId="0" fontId="0" fillId="0" borderId="144" xfId="0" applyBorder="1" applyAlignment="1">
      <alignment horizontal="left" vertical="top" wrapText="1"/>
    </xf>
    <xf numFmtId="0" fontId="6" fillId="0" borderId="144"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8" xfId="0" applyFont="1" applyBorder="1" applyAlignment="1">
      <alignment horizontal="left" vertical="top" wrapText="1"/>
    </xf>
    <xf numFmtId="0" fontId="6" fillId="0" borderId="0" xfId="0" applyFont="1" applyAlignment="1">
      <alignment horizontal="lef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0" fillId="0" borderId="80" xfId="0" applyFont="1" applyBorder="1" applyAlignment="1">
      <alignment horizontal="left" vertical="top" wrapText="1"/>
    </xf>
    <xf numFmtId="0" fontId="0" fillId="0" borderId="85" xfId="0" applyFont="1" applyBorder="1" applyAlignment="1">
      <alignment horizontal="left" vertical="top" wrapText="1"/>
    </xf>
    <xf numFmtId="0" fontId="0" fillId="0" borderId="81" xfId="0" applyFont="1" applyBorder="1" applyAlignment="1">
      <alignment horizontal="left" vertical="top" wrapText="1"/>
    </xf>
    <xf numFmtId="0" fontId="37" fillId="21" borderId="71" xfId="0" applyFont="1" applyFill="1" applyBorder="1" applyAlignment="1">
      <alignment horizontal="center" wrapText="1"/>
    </xf>
    <xf numFmtId="0" fontId="37" fillId="21" borderId="55" xfId="0" applyFont="1" applyFill="1" applyBorder="1" applyAlignment="1">
      <alignment horizontal="center" wrapText="1"/>
    </xf>
    <xf numFmtId="0" fontId="33" fillId="0" borderId="130" xfId="0" applyFont="1" applyBorder="1" applyAlignment="1">
      <alignment horizontal="center"/>
    </xf>
    <xf numFmtId="0" fontId="33" fillId="0" borderId="131" xfId="0" applyFont="1" applyBorder="1" applyAlignment="1">
      <alignment horizontal="center"/>
    </xf>
    <xf numFmtId="0" fontId="33" fillId="0" borderId="132" xfId="0" applyFont="1" applyBorder="1" applyAlignment="1">
      <alignment horizontal="center"/>
    </xf>
    <xf numFmtId="0" fontId="37" fillId="21" borderId="71" xfId="0" applyFont="1" applyFill="1" applyBorder="1" applyAlignment="1">
      <alignment horizontal="center" vertical="center" wrapText="1"/>
    </xf>
    <xf numFmtId="0" fontId="37" fillId="21" borderId="49" xfId="0" applyFont="1" applyFill="1" applyBorder="1" applyAlignment="1">
      <alignment horizontal="center" vertical="center" wrapText="1"/>
    </xf>
    <xf numFmtId="0" fontId="37" fillId="21" borderId="71" xfId="0" applyFont="1" applyFill="1" applyBorder="1" applyAlignment="1">
      <alignment horizontal="center" vertical="center"/>
    </xf>
    <xf numFmtId="0" fontId="37" fillId="21" borderId="49" xfId="0" applyFont="1" applyFill="1" applyBorder="1" applyAlignment="1">
      <alignment horizontal="center" vertical="center"/>
    </xf>
    <xf numFmtId="0" fontId="37" fillId="21" borderId="54" xfId="0" applyFont="1" applyFill="1" applyBorder="1" applyAlignment="1">
      <alignment horizontal="center" vertical="center"/>
    </xf>
    <xf numFmtId="0" fontId="37" fillId="21" borderId="50" xfId="0" applyFont="1" applyFill="1" applyBorder="1" applyAlignment="1">
      <alignment horizontal="center" vertical="center"/>
    </xf>
    <xf numFmtId="0" fontId="34" fillId="0" borderId="130" xfId="0" applyFont="1" applyBorder="1" applyAlignment="1">
      <alignment horizontal="center"/>
    </xf>
    <xf numFmtId="0" fontId="34" fillId="0" borderId="131" xfId="0" applyFont="1" applyBorder="1" applyAlignment="1">
      <alignment horizontal="center"/>
    </xf>
    <xf numFmtId="0" fontId="34" fillId="0" borderId="132" xfId="0" applyFont="1" applyBorder="1" applyAlignment="1">
      <alignment horizontal="center"/>
    </xf>
    <xf numFmtId="0" fontId="35" fillId="18" borderId="54" xfId="0" applyFont="1" applyFill="1" applyBorder="1" applyAlignment="1">
      <alignment horizontal="center" vertical="center"/>
    </xf>
    <xf numFmtId="0" fontId="35" fillId="18" borderId="50" xfId="0" applyFont="1" applyFill="1" applyBorder="1" applyAlignment="1">
      <alignment horizontal="center" vertical="center"/>
    </xf>
    <xf numFmtId="0" fontId="35" fillId="18" borderId="71" xfId="0" applyFont="1" applyFill="1" applyBorder="1" applyAlignment="1">
      <alignment horizontal="center" vertical="center"/>
    </xf>
    <xf numFmtId="0" fontId="35" fillId="18" borderId="49" xfId="0" applyFont="1" applyFill="1" applyBorder="1" applyAlignment="1">
      <alignment horizontal="center" vertical="center"/>
    </xf>
    <xf numFmtId="0" fontId="35" fillId="18" borderId="71" xfId="0" applyFont="1" applyFill="1" applyBorder="1" applyAlignment="1">
      <alignment horizontal="center" vertical="center" wrapText="1"/>
    </xf>
    <xf numFmtId="0" fontId="35" fillId="18" borderId="49" xfId="0" applyFont="1" applyFill="1" applyBorder="1" applyAlignment="1">
      <alignment horizontal="center" vertical="center" wrapText="1"/>
    </xf>
    <xf numFmtId="0" fontId="35" fillId="18" borderId="71" xfId="0" applyFont="1" applyFill="1" applyBorder="1" applyAlignment="1">
      <alignment horizontal="center" wrapText="1"/>
    </xf>
    <xf numFmtId="0" fontId="35" fillId="18" borderId="55" xfId="0" applyFont="1" applyFill="1" applyBorder="1" applyAlignment="1">
      <alignment horizontal="center" wrapText="1"/>
    </xf>
    <xf numFmtId="0" fontId="0" fillId="0" borderId="144" xfId="0" applyFont="1" applyBorder="1" applyAlignment="1">
      <alignment horizontal="left" vertical="top" wrapText="1"/>
    </xf>
    <xf numFmtId="0" fontId="0" fillId="0" borderId="27" xfId="0" applyFont="1" applyBorder="1" applyAlignment="1">
      <alignment horizontal="left" vertical="top" wrapText="1"/>
    </xf>
    <xf numFmtId="0" fontId="0" fillId="0" borderId="28" xfId="0" applyFont="1" applyBorder="1" applyAlignment="1">
      <alignment horizontal="left" vertical="top" wrapText="1"/>
    </xf>
    <xf numFmtId="0" fontId="0" fillId="0" borderId="29" xfId="0" applyFont="1" applyBorder="1" applyAlignment="1">
      <alignment horizontal="left" vertical="top" wrapText="1"/>
    </xf>
    <xf numFmtId="0" fontId="0" fillId="0" borderId="18" xfId="0" applyFont="1" applyBorder="1" applyAlignment="1">
      <alignment horizontal="left" vertical="top" wrapText="1"/>
    </xf>
    <xf numFmtId="0" fontId="0" fillId="0" borderId="0" xfId="0" applyFont="1" applyBorder="1" applyAlignment="1">
      <alignment horizontal="left" vertical="top" wrapText="1"/>
    </xf>
    <xf numFmtId="0" fontId="0" fillId="0" borderId="30" xfId="0" applyFont="1" applyBorder="1" applyAlignment="1">
      <alignment horizontal="left" vertical="top" wrapText="1"/>
    </xf>
    <xf numFmtId="0" fontId="0" fillId="0" borderId="31" xfId="0" applyFont="1" applyBorder="1" applyAlignment="1">
      <alignment horizontal="left" vertical="top" wrapText="1"/>
    </xf>
    <xf numFmtId="0" fontId="0" fillId="0" borderId="32" xfId="0" applyFont="1" applyBorder="1" applyAlignment="1">
      <alignment horizontal="left" vertical="top" wrapText="1"/>
    </xf>
    <xf numFmtId="0" fontId="0" fillId="0" borderId="33" xfId="0" applyFont="1" applyBorder="1" applyAlignment="1">
      <alignment horizontal="left" vertical="top" wrapText="1"/>
    </xf>
    <xf numFmtId="0" fontId="28" fillId="0" borderId="27" xfId="0" applyFont="1" applyBorder="1" applyAlignment="1">
      <alignment horizontal="left" vertical="top" wrapText="1"/>
    </xf>
    <xf numFmtId="0" fontId="28" fillId="0" borderId="28" xfId="0" applyFont="1" applyBorder="1" applyAlignment="1">
      <alignment horizontal="left" vertical="top" wrapText="1"/>
    </xf>
    <xf numFmtId="0" fontId="28" fillId="0" borderId="29" xfId="0" applyFont="1" applyBorder="1" applyAlignment="1">
      <alignment horizontal="left" vertical="top" wrapText="1"/>
    </xf>
    <xf numFmtId="0" fontId="28" fillId="0" borderId="18" xfId="0" applyFont="1" applyBorder="1" applyAlignment="1">
      <alignment horizontal="left" vertical="top" wrapText="1"/>
    </xf>
    <xf numFmtId="0" fontId="28" fillId="0" borderId="0" xfId="0" applyFont="1" applyBorder="1" applyAlignment="1">
      <alignment horizontal="left" vertical="top" wrapText="1"/>
    </xf>
    <xf numFmtId="0" fontId="28" fillId="0" borderId="30" xfId="0" applyFont="1" applyBorder="1" applyAlignment="1">
      <alignment horizontal="left" vertical="top" wrapText="1"/>
    </xf>
    <xf numFmtId="0" fontId="28" fillId="0" borderId="31" xfId="0" applyFont="1" applyBorder="1" applyAlignment="1">
      <alignment horizontal="left" vertical="top" wrapText="1"/>
    </xf>
    <xf numFmtId="0" fontId="28" fillId="0" borderId="32" xfId="0" applyFont="1" applyBorder="1" applyAlignment="1">
      <alignment horizontal="left" vertical="top" wrapText="1"/>
    </xf>
    <xf numFmtId="0" fontId="28" fillId="0" borderId="33" xfId="0" applyFont="1" applyBorder="1" applyAlignment="1">
      <alignment horizontal="left" vertical="top" wrapText="1"/>
    </xf>
    <xf numFmtId="0" fontId="0" fillId="0" borderId="0" xfId="0" applyAlignment="1">
      <alignment horizontal="center"/>
    </xf>
    <xf numFmtId="0" fontId="0" fillId="23" borderId="71" xfId="0" applyFill="1" applyBorder="1" applyAlignment="1">
      <alignment horizontal="center" vertical="center"/>
    </xf>
    <xf numFmtId="0" fontId="0" fillId="23" borderId="134" xfId="0" applyFill="1" applyBorder="1" applyAlignment="1">
      <alignment horizontal="center" vertical="center"/>
    </xf>
    <xf numFmtId="0" fontId="16" fillId="26" borderId="71" xfId="0" applyFont="1" applyFill="1" applyBorder="1" applyAlignment="1">
      <alignment horizontal="center" vertical="center"/>
    </xf>
    <xf numFmtId="0" fontId="16" fillId="26" borderId="134" xfId="0" applyFont="1" applyFill="1" applyBorder="1" applyAlignment="1">
      <alignment horizontal="center" vertical="center"/>
    </xf>
    <xf numFmtId="0" fontId="33" fillId="0" borderId="110" xfId="0" applyFont="1" applyBorder="1" applyAlignment="1">
      <alignment horizontal="center" vertical="center"/>
    </xf>
    <xf numFmtId="0" fontId="33" fillId="0" borderId="111" xfId="0" applyFont="1" applyBorder="1" applyAlignment="1">
      <alignment horizontal="center" vertical="center"/>
    </xf>
    <xf numFmtId="0" fontId="33" fillId="0" borderId="112" xfId="0" applyFont="1" applyBorder="1" applyAlignment="1">
      <alignment horizontal="center" vertical="center"/>
    </xf>
    <xf numFmtId="0" fontId="34" fillId="0" borderId="110" xfId="0" applyFont="1" applyBorder="1" applyAlignment="1">
      <alignment horizontal="center" vertical="center"/>
    </xf>
    <xf numFmtId="0" fontId="34" fillId="0" borderId="111" xfId="0" applyFont="1" applyBorder="1" applyAlignment="1">
      <alignment horizontal="center" vertical="center"/>
    </xf>
    <xf numFmtId="0" fontId="34" fillId="0" borderId="112" xfId="0" applyFont="1" applyBorder="1" applyAlignment="1">
      <alignment horizontal="center" vertical="center"/>
    </xf>
    <xf numFmtId="0" fontId="16" fillId="26" borderId="133" xfId="0" applyFont="1" applyFill="1" applyBorder="1" applyAlignment="1">
      <alignment horizontal="center" vertical="center" wrapText="1"/>
    </xf>
    <xf numFmtId="0" fontId="16" fillId="26" borderId="115" xfId="0" applyFont="1" applyFill="1" applyBorder="1" applyAlignment="1">
      <alignment horizontal="center" vertical="center" wrapText="1"/>
    </xf>
    <xf numFmtId="0" fontId="16" fillId="26" borderId="0" xfId="0" applyFont="1" applyFill="1" applyBorder="1" applyAlignment="1">
      <alignment horizontal="center" vertical="center"/>
    </xf>
    <xf numFmtId="0" fontId="0" fillId="23" borderId="133" xfId="0" applyFill="1" applyBorder="1" applyAlignment="1">
      <alignment horizontal="center" vertical="center" wrapText="1"/>
    </xf>
    <xf numFmtId="0" fontId="0" fillId="23" borderId="115" xfId="0" applyFill="1" applyBorder="1" applyAlignment="1">
      <alignment horizontal="center" vertical="center" wrapText="1"/>
    </xf>
    <xf numFmtId="0" fontId="0" fillId="23" borderId="0" xfId="0" applyFill="1" applyBorder="1" applyAlignment="1">
      <alignment horizontal="center" vertical="center"/>
    </xf>
    <xf numFmtId="0" fontId="6" fillId="0" borderId="0" xfId="0" applyFont="1" applyAlignment="1">
      <alignment horizontal="center" wrapText="1"/>
    </xf>
    <xf numFmtId="0" fontId="49" fillId="5" borderId="32" xfId="0" applyFont="1" applyFill="1" applyBorder="1" applyAlignment="1">
      <alignment horizontal="center"/>
    </xf>
    <xf numFmtId="0" fontId="49" fillId="15" borderId="32" xfId="0" applyFont="1" applyFill="1" applyBorder="1" applyAlignment="1">
      <alignment horizontal="center"/>
    </xf>
    <xf numFmtId="0" fontId="49" fillId="32" borderId="32" xfId="0" applyFont="1" applyFill="1" applyBorder="1" applyAlignment="1">
      <alignment horizontal="center"/>
    </xf>
    <xf numFmtId="0" fontId="49" fillId="0" borderId="32" xfId="0" applyFont="1" applyBorder="1" applyAlignment="1">
      <alignment horizontal="center"/>
    </xf>
    <xf numFmtId="0" fontId="60" fillId="33" borderId="144" xfId="0" applyFont="1" applyFill="1" applyBorder="1" applyAlignment="1">
      <alignment horizontal="center" vertical="center"/>
    </xf>
    <xf numFmtId="0" fontId="60" fillId="33" borderId="144" xfId="0" applyFont="1" applyFill="1" applyBorder="1" applyAlignment="1">
      <alignment horizontal="center"/>
    </xf>
    <xf numFmtId="0" fontId="60" fillId="38" borderId="0" xfId="0" applyFont="1" applyFill="1" applyAlignment="1">
      <alignment horizontal="center"/>
    </xf>
    <xf numFmtId="0" fontId="60" fillId="21" borderId="0" xfId="0" applyFont="1" applyFill="1" applyAlignment="1">
      <alignment horizontal="center"/>
    </xf>
    <xf numFmtId="0" fontId="60" fillId="7" borderId="0" xfId="0" applyFont="1" applyFill="1" applyAlignment="1">
      <alignment horizontal="center"/>
    </xf>
    <xf numFmtId="0" fontId="60" fillId="32" borderId="0" xfId="0" applyFont="1" applyFill="1" applyAlignment="1">
      <alignment horizontal="center"/>
    </xf>
    <xf numFmtId="0" fontId="60" fillId="6" borderId="0" xfId="0" applyFont="1" applyFill="1" applyAlignment="1">
      <alignment horizontal="center"/>
    </xf>
    <xf numFmtId="0" fontId="60" fillId="15" borderId="0" xfId="0" applyFont="1" applyFill="1" applyAlignment="1">
      <alignment horizontal="center"/>
    </xf>
    <xf numFmtId="0" fontId="60" fillId="14" borderId="0" xfId="0" applyFont="1" applyFill="1" applyAlignment="1">
      <alignment horizontal="center"/>
    </xf>
    <xf numFmtId="0" fontId="61" fillId="40" borderId="0" xfId="0" applyFont="1" applyFill="1" applyAlignment="1">
      <alignment horizontal="center"/>
    </xf>
    <xf numFmtId="0" fontId="61" fillId="12" borderId="0" xfId="0" applyFont="1" applyFill="1" applyAlignment="1">
      <alignment horizontal="center"/>
    </xf>
    <xf numFmtId="0" fontId="60" fillId="39" borderId="0" xfId="0" applyFont="1" applyFill="1" applyAlignment="1">
      <alignment horizontal="center"/>
    </xf>
    <xf numFmtId="0" fontId="60" fillId="39" borderId="0" xfId="0" applyFont="1" applyFill="1" applyAlignment="1">
      <alignment horizontal="center" vertical="center"/>
    </xf>
    <xf numFmtId="0" fontId="60" fillId="0" borderId="0" xfId="0" applyFont="1" applyAlignment="1">
      <alignment horizontal="center" vertical="center" wrapText="1"/>
    </xf>
    <xf numFmtId="0" fontId="60" fillId="5" borderId="0" xfId="0" applyFont="1" applyFill="1" applyAlignment="1">
      <alignment horizontal="center"/>
    </xf>
    <xf numFmtId="0" fontId="61" fillId="18" borderId="0" xfId="0" applyFont="1" applyFill="1" applyAlignment="1">
      <alignment horizontal="center"/>
    </xf>
    <xf numFmtId="0" fontId="61" fillId="16" borderId="0" xfId="0" applyFont="1" applyFill="1" applyAlignment="1">
      <alignment horizontal="center"/>
    </xf>
    <xf numFmtId="0" fontId="61" fillId="37" borderId="0" xfId="0" applyFont="1" applyFill="1" applyAlignment="1">
      <alignment horizontal="center"/>
    </xf>
    <xf numFmtId="0" fontId="60" fillId="13" borderId="0" xfId="0" applyFont="1" applyFill="1" applyAlignment="1">
      <alignment horizontal="center"/>
    </xf>
  </cellXfs>
  <cellStyles count="11">
    <cellStyle name="Comma 2" xfId="7"/>
    <cellStyle name="Heading" xfId="5"/>
    <cellStyle name="Heading1" xfId="6"/>
    <cellStyle name="Lien hypertexte" xfId="3" builtinId="8"/>
    <cellStyle name="Normal" xfId="0" builtinId="0"/>
    <cellStyle name="Normal 2" xfId="1"/>
    <cellStyle name="Normal 3" xfId="4"/>
    <cellStyle name="Percent 2" xfId="8"/>
    <cellStyle name="Pourcentage" xfId="2" builtinId="5"/>
    <cellStyle name="Result" xfId="9"/>
    <cellStyle name="Result2" xfId="10"/>
  </cellStyles>
  <dxfs count="57">
    <dxf>
      <font>
        <color rgb="FF9C0006"/>
      </font>
      <fill>
        <patternFill>
          <bgColor rgb="FFFFC7CE"/>
        </patternFill>
      </fill>
    </dxf>
    <dxf>
      <font>
        <color rgb="FF9C0006"/>
      </font>
      <fill>
        <patternFill>
          <bgColor rgb="FFFFC7CE"/>
        </patternFill>
      </fill>
    </dxf>
    <dxf>
      <numFmt numFmtId="174" formatCode=";;;"/>
      <fill>
        <patternFill patternType="lightUp"/>
      </fill>
    </dxf>
    <dxf>
      <font>
        <b/>
        <i val="0"/>
        <color theme="7" tint="-0.499984740745262"/>
      </font>
      <fill>
        <patternFill>
          <bgColor theme="7" tint="0.79998168889431442"/>
        </patternFill>
      </fill>
    </dxf>
    <dxf>
      <font>
        <b/>
        <i val="0"/>
        <color rgb="FF800000"/>
      </font>
      <fill>
        <patternFill>
          <bgColor rgb="FFFFCCCC"/>
        </patternFill>
      </fill>
    </dxf>
    <dxf>
      <numFmt numFmtId="174" formatCode=";;;"/>
      <fill>
        <patternFill patternType="lightUp"/>
      </fill>
    </dxf>
    <dxf>
      <font>
        <b/>
        <i val="0"/>
        <color rgb="FF800000"/>
      </font>
      <fill>
        <patternFill>
          <bgColor rgb="FFFFCCCC"/>
        </patternFill>
      </fill>
    </dxf>
    <dxf>
      <font>
        <b/>
        <i val="0"/>
        <color theme="7" tint="-0.499984740745262"/>
      </font>
      <fill>
        <patternFill>
          <bgColor theme="7" tint="0.79998168889431442"/>
        </patternFill>
      </fill>
    </dxf>
    <dxf>
      <font>
        <b/>
        <i val="0"/>
        <color rgb="FF800000"/>
      </font>
      <fill>
        <patternFill>
          <bgColor rgb="FFFFCCCC"/>
        </patternFill>
      </fill>
    </dxf>
    <dxf>
      <font>
        <b/>
        <i val="0"/>
        <color theme="9" tint="-0.499984740745262"/>
      </font>
      <fill>
        <patternFill>
          <bgColor theme="9" tint="0.39994506668294322"/>
        </patternFill>
      </fill>
      <border>
        <left style="thin">
          <color theme="9" tint="-0.499984740745262"/>
        </left>
        <right style="thin">
          <color theme="9" tint="-0.499984740745262"/>
        </right>
        <top style="thin">
          <color theme="9" tint="-0.499984740745262"/>
        </top>
        <bottom style="thin">
          <color theme="9" tint="-0.499984740745262"/>
        </bottom>
      </border>
    </dxf>
    <dxf>
      <font>
        <b/>
        <i val="0"/>
        <color rgb="FF800000"/>
      </font>
      <fill>
        <patternFill>
          <bgColor rgb="FFFFCCCC"/>
        </patternFill>
      </fill>
      <border>
        <left style="thin">
          <color rgb="FF800000"/>
        </left>
        <right style="thin">
          <color rgb="FF800000"/>
        </right>
        <top style="thin">
          <color rgb="FF800000"/>
        </top>
        <bottom style="thin">
          <color rgb="FF800000"/>
        </bottom>
      </border>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numFmt numFmtId="174" formatCode=";;;"/>
      <fill>
        <patternFill patternType="lightUp"/>
      </fill>
    </dxf>
    <dxf>
      <font>
        <b/>
        <i val="0"/>
        <color rgb="FF800000"/>
      </font>
      <fill>
        <patternFill>
          <bgColor rgb="FFFFCCCC"/>
        </patternFill>
      </fill>
      <border>
        <left style="thin">
          <color auto="1"/>
        </left>
        <right style="thin">
          <color auto="1"/>
        </right>
        <top style="thin">
          <color auto="1"/>
        </top>
        <bottom style="thin">
          <color auto="1"/>
        </bottom>
        <vertical/>
        <horizontal/>
      </border>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numFmt numFmtId="174" formatCode=";;;"/>
      <fill>
        <patternFill patternType="lightUp"/>
      </fill>
    </dxf>
    <dxf>
      <numFmt numFmtId="174" formatCode=";;;"/>
      <fill>
        <patternFill patternType="lightUp"/>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theme="9" tint="-0.499984740745262"/>
      </font>
      <fill>
        <patternFill>
          <bgColor theme="9" tint="0.59996337778862885"/>
        </patternFill>
      </fill>
    </dxf>
    <dxf>
      <font>
        <b/>
        <i val="0"/>
        <color rgb="FF800000"/>
      </font>
      <fill>
        <patternFill>
          <bgColor rgb="FFFFCCCC"/>
        </patternFill>
      </fill>
    </dxf>
    <dxf>
      <font>
        <b/>
        <i val="0"/>
        <color theme="9" tint="-0.499984740745262"/>
      </font>
      <fill>
        <patternFill>
          <bgColor theme="9" tint="0.59996337778862885"/>
        </patternFill>
      </fill>
    </dxf>
    <dxf>
      <numFmt numFmtId="174" formatCode=";;;"/>
      <border>
        <left/>
        <right/>
        <top/>
        <bottom/>
        <vertical/>
        <horizontal/>
      </border>
    </dxf>
  </dxfs>
  <tableStyles count="0" defaultTableStyle="TableStyleMedium2" defaultPivotStyle="PivotStyleLight16"/>
  <colors>
    <mruColors>
      <color rgb="FFFFCCCC"/>
      <color rgb="FF800000"/>
      <color rgb="FFFF5050"/>
      <color rgb="FFCC0000"/>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Fertilisation!A6"/><Relationship Id="rId7" Type="http://schemas.openxmlformats.org/officeDocument/2006/relationships/hyperlink" Target="#Identification!A1"/><Relationship Id="rId12" Type="http://schemas.openxmlformats.org/officeDocument/2006/relationships/image" Target="../media/image5.svg"/><Relationship Id="rId2" Type="http://schemas.openxmlformats.org/officeDocument/2006/relationships/hyperlink" Target="#Phyto!A6"/><Relationship Id="rId1" Type="http://schemas.openxmlformats.org/officeDocument/2006/relationships/image" Target="../media/image1.png"/><Relationship Id="rId6" Type="http://schemas.openxmlformats.org/officeDocument/2006/relationships/hyperlink" Target="#Biodiversit&#233;!A6"/><Relationship Id="rId11" Type="http://schemas.openxmlformats.org/officeDocument/2006/relationships/image" Target="../media/image3.png"/><Relationship Id="rId5" Type="http://schemas.openxmlformats.org/officeDocument/2006/relationships/hyperlink" Target="#SYNTHESE!A1"/><Relationship Id="rId10" Type="http://schemas.openxmlformats.org/officeDocument/2006/relationships/hyperlink" Target="#Surfaces!A1"/><Relationship Id="rId4" Type="http://schemas.openxmlformats.org/officeDocument/2006/relationships/hyperlink" Target="#Irrigation!A6"/><Relationship Id="rId9"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hyperlink" Target="#Identification!B53:B75"/><Relationship Id="rId7" Type="http://schemas.openxmlformats.org/officeDocument/2006/relationships/image" Target="../media/image1.png"/><Relationship Id="rId2" Type="http://schemas.openxmlformats.org/officeDocument/2006/relationships/hyperlink" Target="#Identification!B29:B51"/><Relationship Id="rId1" Type="http://schemas.openxmlformats.org/officeDocument/2006/relationships/hyperlink" Target="#Identification!B7:B26"/><Relationship Id="rId6" Type="http://schemas.openxmlformats.org/officeDocument/2006/relationships/hyperlink" Target="#Accueil!A1"/><Relationship Id="rId5" Type="http://schemas.openxmlformats.org/officeDocument/2006/relationships/hyperlink" Target="#Identification!B102:B122"/><Relationship Id="rId4" Type="http://schemas.openxmlformats.org/officeDocument/2006/relationships/hyperlink" Target="#Identification!B77:B101"/></Relationships>
</file>

<file path=xl/drawings/_rels/drawing3.xml.rels><?xml version="1.0" encoding="UTF-8" standalone="yes"?>
<Relationships xmlns="http://schemas.openxmlformats.org/package/2006/relationships"><Relationship Id="rId3" Type="http://schemas.openxmlformats.org/officeDocument/2006/relationships/hyperlink" Target="#Surfaces!B18:B65"/><Relationship Id="rId2" Type="http://schemas.openxmlformats.org/officeDocument/2006/relationships/image" Target="../media/image1.png"/><Relationship Id="rId1" Type="http://schemas.openxmlformats.org/officeDocument/2006/relationships/hyperlink" Target="#Accueil!A1"/><Relationship Id="rId6" Type="http://schemas.openxmlformats.org/officeDocument/2006/relationships/hyperlink" Target="#Surfaces!B203:B228"/><Relationship Id="rId5" Type="http://schemas.openxmlformats.org/officeDocument/2006/relationships/hyperlink" Target="#Surfaces!B169:B201"/><Relationship Id="rId4" Type="http://schemas.openxmlformats.org/officeDocument/2006/relationships/hyperlink" Target="#Surfaces!B75:B167"/></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Accueil!A1"/></Relationships>
</file>

<file path=xl/drawings/_rels/drawing5.xml.rels><?xml version="1.0" encoding="UTF-8" standalone="yes"?>
<Relationships xmlns="http://schemas.openxmlformats.org/package/2006/relationships"><Relationship Id="rId8" Type="http://schemas.openxmlformats.org/officeDocument/2006/relationships/hyperlink" Target="#Biodiversit&#233;!B96:B122"/><Relationship Id="rId3" Type="http://schemas.openxmlformats.org/officeDocument/2006/relationships/hyperlink" Target="#Biodiversit&#233;!B232:B251"/><Relationship Id="rId7" Type="http://schemas.openxmlformats.org/officeDocument/2006/relationships/hyperlink" Target="#Biodiversit&#233;!B124:B163"/><Relationship Id="rId2" Type="http://schemas.openxmlformats.org/officeDocument/2006/relationships/image" Target="../media/image1.png"/><Relationship Id="rId1" Type="http://schemas.openxmlformats.org/officeDocument/2006/relationships/hyperlink" Target="#Accueil!A1"/><Relationship Id="rId6" Type="http://schemas.openxmlformats.org/officeDocument/2006/relationships/hyperlink" Target="#Biodiversit&#233;!B165:B189"/><Relationship Id="rId11" Type="http://schemas.openxmlformats.org/officeDocument/2006/relationships/hyperlink" Target="#Biodiversit&#233;!B253:B273"/><Relationship Id="rId5" Type="http://schemas.openxmlformats.org/officeDocument/2006/relationships/hyperlink" Target="#Biodiversit&#233;!B191:B208"/><Relationship Id="rId10" Type="http://schemas.openxmlformats.org/officeDocument/2006/relationships/hyperlink" Target="#Biodiversit&#233;!B7:B74"/><Relationship Id="rId4" Type="http://schemas.openxmlformats.org/officeDocument/2006/relationships/hyperlink" Target="#Biodiversit&#233;!B210:B230"/><Relationship Id="rId9" Type="http://schemas.openxmlformats.org/officeDocument/2006/relationships/hyperlink" Target="#Biodiversit&#233;!B77:B94"/></Relationships>
</file>

<file path=xl/drawings/_rels/drawing6.xml.rels><?xml version="1.0" encoding="UTF-8" standalone="yes"?>
<Relationships xmlns="http://schemas.openxmlformats.org/package/2006/relationships"><Relationship Id="rId8" Type="http://schemas.openxmlformats.org/officeDocument/2006/relationships/hyperlink" Target="#Phyto!B153:B192"/><Relationship Id="rId13" Type="http://schemas.openxmlformats.org/officeDocument/2006/relationships/hyperlink" Target="#Phyto!B363:B384"/><Relationship Id="rId3" Type="http://schemas.openxmlformats.org/officeDocument/2006/relationships/hyperlink" Target="#Phyto!B329:B361"/><Relationship Id="rId7" Type="http://schemas.openxmlformats.org/officeDocument/2006/relationships/hyperlink" Target="#Phyto!B125:B151"/><Relationship Id="rId12" Type="http://schemas.openxmlformats.org/officeDocument/2006/relationships/hyperlink" Target="#Phyto!B295:B327"/><Relationship Id="rId2" Type="http://schemas.openxmlformats.org/officeDocument/2006/relationships/image" Target="../media/image1.png"/><Relationship Id="rId1" Type="http://schemas.openxmlformats.org/officeDocument/2006/relationships/hyperlink" Target="#Accueil!A1"/><Relationship Id="rId6" Type="http://schemas.openxmlformats.org/officeDocument/2006/relationships/hyperlink" Target="#Phyto!B57:B122"/><Relationship Id="rId11" Type="http://schemas.openxmlformats.org/officeDocument/2006/relationships/hyperlink" Target="#Phyto!B254:B293"/><Relationship Id="rId5" Type="http://schemas.openxmlformats.org/officeDocument/2006/relationships/hyperlink" Target="#Phyto!B30:B55"/><Relationship Id="rId10" Type="http://schemas.openxmlformats.org/officeDocument/2006/relationships/hyperlink" Target="#Phyto!B229:B252"/><Relationship Id="rId4" Type="http://schemas.openxmlformats.org/officeDocument/2006/relationships/hyperlink" Target="#Phyto!B7:B28"/><Relationship Id="rId9" Type="http://schemas.openxmlformats.org/officeDocument/2006/relationships/hyperlink" Target="#Phyto!B194:B227"/></Relationships>
</file>

<file path=xl/drawings/_rels/drawing7.xml.rels><?xml version="1.0" encoding="UTF-8" standalone="yes"?>
<Relationships xmlns="http://schemas.openxmlformats.org/package/2006/relationships"><Relationship Id="rId8" Type="http://schemas.openxmlformats.org/officeDocument/2006/relationships/hyperlink" Target="#Fertilisation!B82:B110"/><Relationship Id="rId3" Type="http://schemas.openxmlformats.org/officeDocument/2006/relationships/hyperlink" Target="#Fertilisation!B317:B343"/><Relationship Id="rId7" Type="http://schemas.openxmlformats.org/officeDocument/2006/relationships/hyperlink" Target="#Fertilisation!B249:B291"/><Relationship Id="rId12" Type="http://schemas.openxmlformats.org/officeDocument/2006/relationships/hyperlink" Target="#Fertilisation!B345:B365"/><Relationship Id="rId2" Type="http://schemas.openxmlformats.org/officeDocument/2006/relationships/image" Target="../media/image1.png"/><Relationship Id="rId1" Type="http://schemas.openxmlformats.org/officeDocument/2006/relationships/hyperlink" Target="#Accueil!A1"/><Relationship Id="rId6" Type="http://schemas.openxmlformats.org/officeDocument/2006/relationships/hyperlink" Target="#Fertilisation!B223:B247"/><Relationship Id="rId11" Type="http://schemas.openxmlformats.org/officeDocument/2006/relationships/hyperlink" Target="#Fertilisation!B7:B80"/><Relationship Id="rId5" Type="http://schemas.openxmlformats.org/officeDocument/2006/relationships/hyperlink" Target="#Fertilisation!B199:B221"/><Relationship Id="rId10" Type="http://schemas.openxmlformats.org/officeDocument/2006/relationships/hyperlink" Target="#Fertilisation!B134:B197"/><Relationship Id="rId4" Type="http://schemas.openxmlformats.org/officeDocument/2006/relationships/hyperlink" Target="#Fertilisation!B293:B315"/><Relationship Id="rId9" Type="http://schemas.openxmlformats.org/officeDocument/2006/relationships/hyperlink" Target="#Fertilisation!B112:B132"/></Relationships>
</file>

<file path=xl/drawings/_rels/drawing8.xml.rels><?xml version="1.0" encoding="UTF-8" standalone="yes"?>
<Relationships xmlns="http://schemas.openxmlformats.org/package/2006/relationships"><Relationship Id="rId8" Type="http://schemas.openxmlformats.org/officeDocument/2006/relationships/hyperlink" Target="#Irrigation!B166:B195"/><Relationship Id="rId3" Type="http://schemas.openxmlformats.org/officeDocument/2006/relationships/hyperlink" Target="#Irrigation!B7:B67"/><Relationship Id="rId7" Type="http://schemas.openxmlformats.org/officeDocument/2006/relationships/hyperlink" Target="#Irrigation!B144:B164"/><Relationship Id="rId2" Type="http://schemas.openxmlformats.org/officeDocument/2006/relationships/image" Target="../media/image1.png"/><Relationship Id="rId1" Type="http://schemas.openxmlformats.org/officeDocument/2006/relationships/hyperlink" Target="#Accueil!A1"/><Relationship Id="rId6" Type="http://schemas.openxmlformats.org/officeDocument/2006/relationships/hyperlink" Target="#Irrigation!B129:B142"/><Relationship Id="rId11" Type="http://schemas.openxmlformats.org/officeDocument/2006/relationships/hyperlink" Target="#Irrigation!B248:B268"/><Relationship Id="rId5" Type="http://schemas.openxmlformats.org/officeDocument/2006/relationships/hyperlink" Target="#Irrigation!B105:B127"/><Relationship Id="rId10" Type="http://schemas.openxmlformats.org/officeDocument/2006/relationships/hyperlink" Target="#Irrigation!B226:B246"/><Relationship Id="rId4" Type="http://schemas.openxmlformats.org/officeDocument/2006/relationships/hyperlink" Target="#Irrigation!B69:B103"/><Relationship Id="rId9" Type="http://schemas.openxmlformats.org/officeDocument/2006/relationships/hyperlink" Target="#Irrigation!B197:B224"/></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Accueil!A1"/></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456915</xdr:colOff>
      <xdr:row>7</xdr:row>
      <xdr:rowOff>142715</xdr:rowOff>
    </xdr:to>
    <xdr:pic>
      <xdr:nvPicPr>
        <xdr:cNvPr id="2" name="Image 1">
          <a:extLst>
            <a:ext uri="{FF2B5EF4-FFF2-40B4-BE49-F238E27FC236}">
              <a16:creationId xmlns:a16="http://schemas.microsoft.com/office/drawing/2014/main" id="{E534C466-A3DD-63CD-48E6-D8AE3543C21A}"/>
            </a:ext>
          </a:extLst>
        </xdr:cNvPr>
        <xdr:cNvPicPr>
          <a:picLocks noChangeAspect="1"/>
        </xdr:cNvPicPr>
      </xdr:nvPicPr>
      <xdr:blipFill>
        <a:blip xmlns:r="http://schemas.openxmlformats.org/officeDocument/2006/relationships" r:embed="rId1"/>
        <a:stretch>
          <a:fillRect/>
        </a:stretch>
      </xdr:blipFill>
      <xdr:spPr>
        <a:xfrm>
          <a:off x="619125" y="200025"/>
          <a:ext cx="2276190" cy="1276190"/>
        </a:xfrm>
        <a:prstGeom prst="rect">
          <a:avLst/>
        </a:prstGeom>
      </xdr:spPr>
    </xdr:pic>
    <xdr:clientData/>
  </xdr:twoCellAnchor>
  <xdr:twoCellAnchor>
    <xdr:from>
      <xdr:col>6</xdr:col>
      <xdr:colOff>132850</xdr:colOff>
      <xdr:row>22</xdr:row>
      <xdr:rowOff>66675</xdr:rowOff>
    </xdr:from>
    <xdr:to>
      <xdr:col>8</xdr:col>
      <xdr:colOff>247150</xdr:colOff>
      <xdr:row>24</xdr:row>
      <xdr:rowOff>104775</xdr:rowOff>
    </xdr:to>
    <xdr:sp macro="" textlink="">
      <xdr:nvSpPr>
        <xdr:cNvPr id="18" name="Parallelogram 17">
          <a:hlinkClick xmlns:r="http://schemas.openxmlformats.org/officeDocument/2006/relationships" r:id="rId2"/>
          <a:extLst>
            <a:ext uri="{FF2B5EF4-FFF2-40B4-BE49-F238E27FC236}">
              <a16:creationId xmlns:a16="http://schemas.microsoft.com/office/drawing/2014/main" id="{3553CF5C-FD2D-A085-8C2E-3E593B55A097}"/>
            </a:ext>
          </a:extLst>
        </xdr:cNvPr>
        <xdr:cNvSpPr/>
      </xdr:nvSpPr>
      <xdr:spPr>
        <a:xfrm>
          <a:off x="3790450" y="4629150"/>
          <a:ext cx="13335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PHYTO</a:t>
          </a:r>
        </a:p>
      </xdr:txBody>
    </xdr:sp>
    <xdr:clientData/>
  </xdr:twoCellAnchor>
  <xdr:twoCellAnchor>
    <xdr:from>
      <xdr:col>8</xdr:col>
      <xdr:colOff>343400</xdr:colOff>
      <xdr:row>22</xdr:row>
      <xdr:rowOff>66675</xdr:rowOff>
    </xdr:from>
    <xdr:to>
      <xdr:col>10</xdr:col>
      <xdr:colOff>456200</xdr:colOff>
      <xdr:row>24</xdr:row>
      <xdr:rowOff>104775</xdr:rowOff>
    </xdr:to>
    <xdr:sp macro="" textlink="">
      <xdr:nvSpPr>
        <xdr:cNvPr id="21" name="Parallelogram 20">
          <a:hlinkClick xmlns:r="http://schemas.openxmlformats.org/officeDocument/2006/relationships" r:id="rId3"/>
          <a:extLst>
            <a:ext uri="{FF2B5EF4-FFF2-40B4-BE49-F238E27FC236}">
              <a16:creationId xmlns:a16="http://schemas.microsoft.com/office/drawing/2014/main" id="{2029E41D-9DF4-0A9A-7AEA-161DBF736967}"/>
            </a:ext>
          </a:extLst>
        </xdr:cNvPr>
        <xdr:cNvSpPr/>
      </xdr:nvSpPr>
      <xdr:spPr>
        <a:xfrm>
          <a:off x="5220200" y="4629150"/>
          <a:ext cx="13320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FERTILISATION</a:t>
          </a:r>
        </a:p>
      </xdr:txBody>
    </xdr:sp>
    <xdr:clientData/>
  </xdr:twoCellAnchor>
  <xdr:twoCellAnchor>
    <xdr:from>
      <xdr:col>10</xdr:col>
      <xdr:colOff>552450</xdr:colOff>
      <xdr:row>22</xdr:row>
      <xdr:rowOff>66675</xdr:rowOff>
    </xdr:from>
    <xdr:to>
      <xdr:col>13</xdr:col>
      <xdr:colOff>55650</xdr:colOff>
      <xdr:row>24</xdr:row>
      <xdr:rowOff>104775</xdr:rowOff>
    </xdr:to>
    <xdr:sp macro="" textlink="">
      <xdr:nvSpPr>
        <xdr:cNvPr id="24" name="Parallelogram 23">
          <a:hlinkClick xmlns:r="http://schemas.openxmlformats.org/officeDocument/2006/relationships" r:id="rId4"/>
          <a:extLst>
            <a:ext uri="{FF2B5EF4-FFF2-40B4-BE49-F238E27FC236}">
              <a16:creationId xmlns:a16="http://schemas.microsoft.com/office/drawing/2014/main" id="{4C8B66E9-0DE5-7D4E-2444-A3770BC2CEDD}"/>
            </a:ext>
          </a:extLst>
        </xdr:cNvPr>
        <xdr:cNvSpPr/>
      </xdr:nvSpPr>
      <xdr:spPr>
        <a:xfrm>
          <a:off x="6648450" y="4629150"/>
          <a:ext cx="13320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IRRIGATION </a:t>
          </a:r>
        </a:p>
      </xdr:txBody>
    </xdr:sp>
    <xdr:clientData/>
  </xdr:twoCellAnchor>
  <xdr:twoCellAnchor>
    <xdr:from>
      <xdr:col>6</xdr:col>
      <xdr:colOff>371475</xdr:colOff>
      <xdr:row>31</xdr:row>
      <xdr:rowOff>95250</xdr:rowOff>
    </xdr:from>
    <xdr:to>
      <xdr:col>9</xdr:col>
      <xdr:colOff>485775</xdr:colOff>
      <xdr:row>33</xdr:row>
      <xdr:rowOff>133350</xdr:rowOff>
    </xdr:to>
    <xdr:sp macro="" textlink="">
      <xdr:nvSpPr>
        <xdr:cNvPr id="27" name="Parallelogram 26">
          <a:hlinkClick xmlns:r="http://schemas.openxmlformats.org/officeDocument/2006/relationships" r:id="rId5"/>
          <a:extLst>
            <a:ext uri="{FF2B5EF4-FFF2-40B4-BE49-F238E27FC236}">
              <a16:creationId xmlns:a16="http://schemas.microsoft.com/office/drawing/2014/main" id="{EF021698-3379-434A-832D-44B4F8B2C091}"/>
            </a:ext>
          </a:extLst>
        </xdr:cNvPr>
        <xdr:cNvSpPr/>
      </xdr:nvSpPr>
      <xdr:spPr>
        <a:xfrm>
          <a:off x="4029075" y="4657725"/>
          <a:ext cx="1943100" cy="419100"/>
        </a:xfrm>
        <a:prstGeom prst="parallelogram">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SYNTHÈSE</a:t>
          </a:r>
        </a:p>
      </xdr:txBody>
    </xdr:sp>
    <xdr:clientData/>
  </xdr:twoCellAnchor>
  <xdr:twoCellAnchor>
    <xdr:from>
      <xdr:col>3</xdr:col>
      <xdr:colOff>533400</xdr:colOff>
      <xdr:row>22</xdr:row>
      <xdr:rowOff>66675</xdr:rowOff>
    </xdr:from>
    <xdr:to>
      <xdr:col>6</xdr:col>
      <xdr:colOff>36600</xdr:colOff>
      <xdr:row>24</xdr:row>
      <xdr:rowOff>104775</xdr:rowOff>
    </xdr:to>
    <xdr:sp macro="" textlink="">
      <xdr:nvSpPr>
        <xdr:cNvPr id="13" name="Parallelogram 12">
          <a:hlinkClick xmlns:r="http://schemas.openxmlformats.org/officeDocument/2006/relationships" r:id="rId6"/>
          <a:extLst>
            <a:ext uri="{FF2B5EF4-FFF2-40B4-BE49-F238E27FC236}">
              <a16:creationId xmlns:a16="http://schemas.microsoft.com/office/drawing/2014/main" id="{87F01C7E-B53E-410C-B4E8-585A9E467ABE}"/>
            </a:ext>
          </a:extLst>
        </xdr:cNvPr>
        <xdr:cNvSpPr/>
      </xdr:nvSpPr>
      <xdr:spPr>
        <a:xfrm>
          <a:off x="2362200" y="4629150"/>
          <a:ext cx="13320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BIODIVERSITÉ </a:t>
          </a:r>
        </a:p>
      </xdr:txBody>
    </xdr:sp>
    <xdr:clientData/>
  </xdr:twoCellAnchor>
  <xdr:twoCellAnchor>
    <xdr:from>
      <xdr:col>3</xdr:col>
      <xdr:colOff>600076</xdr:colOff>
      <xdr:row>13</xdr:row>
      <xdr:rowOff>123825</xdr:rowOff>
    </xdr:from>
    <xdr:to>
      <xdr:col>7</xdr:col>
      <xdr:colOff>104776</xdr:colOff>
      <xdr:row>15</xdr:row>
      <xdr:rowOff>161925</xdr:rowOff>
    </xdr:to>
    <xdr:grpSp>
      <xdr:nvGrpSpPr>
        <xdr:cNvPr id="15" name="Group 14">
          <a:hlinkClick xmlns:r="http://schemas.openxmlformats.org/officeDocument/2006/relationships" r:id="rId7"/>
          <a:extLst>
            <a:ext uri="{FF2B5EF4-FFF2-40B4-BE49-F238E27FC236}">
              <a16:creationId xmlns:a16="http://schemas.microsoft.com/office/drawing/2014/main" id="{74091362-0820-EA0A-4ABE-77986D4D1AB1}"/>
            </a:ext>
          </a:extLst>
        </xdr:cNvPr>
        <xdr:cNvGrpSpPr/>
      </xdr:nvGrpSpPr>
      <xdr:grpSpPr>
        <a:xfrm>
          <a:off x="2428876" y="2781300"/>
          <a:ext cx="1943100" cy="419100"/>
          <a:chOff x="2428876" y="2781300"/>
          <a:chExt cx="1943100" cy="419100"/>
        </a:xfrm>
      </xdr:grpSpPr>
      <xdr:sp macro="" textlink="">
        <xdr:nvSpPr>
          <xdr:cNvPr id="3" name="Parallelogram 2">
            <a:extLst>
              <a:ext uri="{FF2B5EF4-FFF2-40B4-BE49-F238E27FC236}">
                <a16:creationId xmlns:a16="http://schemas.microsoft.com/office/drawing/2014/main" id="{9AB7FB15-85ED-95E3-C01F-4CAA1C0FD44F}"/>
              </a:ext>
            </a:extLst>
          </xdr:cNvPr>
          <xdr:cNvSpPr/>
        </xdr:nvSpPr>
        <xdr:spPr>
          <a:xfrm>
            <a:off x="2428876" y="2781300"/>
            <a:ext cx="1943100" cy="419100"/>
          </a:xfrm>
          <a:prstGeom prst="parallelogram">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100" b="1"/>
              <a:t>IDENTIFICATION</a:t>
            </a:r>
          </a:p>
        </xdr:txBody>
      </xdr:sp>
      <xdr:pic>
        <xdr:nvPicPr>
          <xdr:cNvPr id="6" name="Graphic 5" descr="Information with solid fill">
            <a:extLst>
              <a:ext uri="{FF2B5EF4-FFF2-40B4-BE49-F238E27FC236}">
                <a16:creationId xmlns:a16="http://schemas.microsoft.com/office/drawing/2014/main" id="{0556D611-6AFA-A6F1-D508-750938D386A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 xmlns:asvg="http://schemas.microsoft.com/office/drawing/2016/SVG/main" r:embed="rId9"/>
              </a:ext>
            </a:extLst>
          </a:blip>
          <a:stretch>
            <a:fillRect/>
          </a:stretch>
        </xdr:blipFill>
        <xdr:spPr>
          <a:xfrm>
            <a:off x="3895725" y="2847975"/>
            <a:ext cx="285750" cy="285750"/>
          </a:xfrm>
          <a:prstGeom prst="rect">
            <a:avLst/>
          </a:prstGeom>
        </xdr:spPr>
      </xdr:pic>
    </xdr:grpSp>
    <xdr:clientData/>
  </xdr:twoCellAnchor>
  <xdr:twoCellAnchor>
    <xdr:from>
      <xdr:col>9</xdr:col>
      <xdr:colOff>476250</xdr:colOff>
      <xdr:row>13</xdr:row>
      <xdr:rowOff>123825</xdr:rowOff>
    </xdr:from>
    <xdr:to>
      <xdr:col>12</xdr:col>
      <xdr:colOff>591450</xdr:colOff>
      <xdr:row>15</xdr:row>
      <xdr:rowOff>160425</xdr:rowOff>
    </xdr:to>
    <xdr:grpSp>
      <xdr:nvGrpSpPr>
        <xdr:cNvPr id="14" name="Group 13">
          <a:hlinkClick xmlns:r="http://schemas.openxmlformats.org/officeDocument/2006/relationships" r:id="rId10"/>
          <a:extLst>
            <a:ext uri="{FF2B5EF4-FFF2-40B4-BE49-F238E27FC236}">
              <a16:creationId xmlns:a16="http://schemas.microsoft.com/office/drawing/2014/main" id="{32DBC8B4-F1D7-E876-E4F8-7A0D63F58561}"/>
            </a:ext>
          </a:extLst>
        </xdr:cNvPr>
        <xdr:cNvGrpSpPr/>
      </xdr:nvGrpSpPr>
      <xdr:grpSpPr>
        <a:xfrm>
          <a:off x="5962650" y="2781300"/>
          <a:ext cx="1944000" cy="417600"/>
          <a:chOff x="5962650" y="2781300"/>
          <a:chExt cx="1944000" cy="417600"/>
        </a:xfrm>
      </xdr:grpSpPr>
      <xdr:sp macro="" textlink="">
        <xdr:nvSpPr>
          <xdr:cNvPr id="9" name="Parallelogram 8">
            <a:extLst>
              <a:ext uri="{FF2B5EF4-FFF2-40B4-BE49-F238E27FC236}">
                <a16:creationId xmlns:a16="http://schemas.microsoft.com/office/drawing/2014/main" id="{2824AB43-C140-BCC5-AEAD-13070B40A9C4}"/>
              </a:ext>
            </a:extLst>
          </xdr:cNvPr>
          <xdr:cNvSpPr/>
        </xdr:nvSpPr>
        <xdr:spPr>
          <a:xfrm>
            <a:off x="5962650" y="2781300"/>
            <a:ext cx="1944000" cy="417600"/>
          </a:xfrm>
          <a:prstGeom prst="parallelogram">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100" b="1"/>
              <a:t>SURFACES</a:t>
            </a:r>
          </a:p>
        </xdr:txBody>
      </xdr:sp>
      <xdr:pic>
        <xdr:nvPicPr>
          <xdr:cNvPr id="12" name="Graphic 11" descr="Topography Map outline">
            <a:extLst>
              <a:ext uri="{FF2B5EF4-FFF2-40B4-BE49-F238E27FC236}">
                <a16:creationId xmlns:a16="http://schemas.microsoft.com/office/drawing/2014/main" id="{0DF36102-C9D0-AEE5-BE62-5D51843B767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 xmlns:asvg="http://schemas.microsoft.com/office/drawing/2016/SVG/main" r:embed="rId12"/>
              </a:ext>
            </a:extLst>
          </a:blip>
          <a:stretch>
            <a:fillRect/>
          </a:stretch>
        </xdr:blipFill>
        <xdr:spPr>
          <a:xfrm>
            <a:off x="7258050" y="2838450"/>
            <a:ext cx="447675" cy="35242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6</xdr:row>
      <xdr:rowOff>38100</xdr:rowOff>
    </xdr:from>
    <xdr:to>
      <xdr:col>4</xdr:col>
      <xdr:colOff>495300</xdr:colOff>
      <xdr:row>7</xdr:row>
      <xdr:rowOff>144075</xdr:rowOff>
    </xdr:to>
    <xdr:sp macro="" textlink="">
      <xdr:nvSpPr>
        <xdr:cNvPr id="2" name="Parallelogram 1">
          <a:extLst>
            <a:ext uri="{FF2B5EF4-FFF2-40B4-BE49-F238E27FC236}">
              <a16:creationId xmlns:a16="http://schemas.microsoft.com/office/drawing/2014/main" id="{7CC0F56D-9D6B-F253-0F93-CE079B32EB73}"/>
            </a:ext>
          </a:extLst>
        </xdr:cNvPr>
        <xdr:cNvSpPr/>
      </xdr:nvSpPr>
      <xdr:spPr>
        <a:xfrm>
          <a:off x="923925" y="1181100"/>
          <a:ext cx="2009775" cy="30600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Contexte de l'audit</a:t>
          </a:r>
        </a:p>
      </xdr:txBody>
    </xdr:sp>
    <xdr:clientData/>
  </xdr:twoCellAnchor>
  <xdr:twoCellAnchor editAs="absolute">
    <xdr:from>
      <xdr:col>1</xdr:col>
      <xdr:colOff>409574</xdr:colOff>
      <xdr:row>8</xdr:row>
      <xdr:rowOff>152400</xdr:rowOff>
    </xdr:from>
    <xdr:to>
      <xdr:col>4</xdr:col>
      <xdr:colOff>229574</xdr:colOff>
      <xdr:row>10</xdr:row>
      <xdr:rowOff>76200</xdr:rowOff>
    </xdr:to>
    <xdr:sp macro="" textlink="">
      <xdr:nvSpPr>
        <xdr:cNvPr id="3" name="Rectangle: Rounded Corners 2">
          <a:extLst>
            <a:ext uri="{FF2B5EF4-FFF2-40B4-BE49-F238E27FC236}">
              <a16:creationId xmlns:a16="http://schemas.microsoft.com/office/drawing/2014/main" id="{D728C4CB-068E-F18B-0417-4A84D9045742}"/>
            </a:ext>
          </a:extLst>
        </xdr:cNvPr>
        <xdr:cNvSpPr/>
      </xdr:nvSpPr>
      <xdr:spPr>
        <a:xfrm>
          <a:off x="1014692" y="1687606"/>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Date de l'audit</a:t>
          </a:r>
        </a:p>
      </xdr:txBody>
    </xdr:sp>
    <xdr:clientData/>
  </xdr:twoCellAnchor>
  <xdr:twoCellAnchor editAs="absolute">
    <xdr:from>
      <xdr:col>1</xdr:col>
      <xdr:colOff>409574</xdr:colOff>
      <xdr:row>12</xdr:row>
      <xdr:rowOff>153894</xdr:rowOff>
    </xdr:from>
    <xdr:to>
      <xdr:col>4</xdr:col>
      <xdr:colOff>229574</xdr:colOff>
      <xdr:row>14</xdr:row>
      <xdr:rowOff>77694</xdr:rowOff>
    </xdr:to>
    <xdr:sp macro="" textlink="">
      <xdr:nvSpPr>
        <xdr:cNvPr id="4" name="Rectangle: Rounded Corners 3">
          <a:extLst>
            <a:ext uri="{FF2B5EF4-FFF2-40B4-BE49-F238E27FC236}">
              <a16:creationId xmlns:a16="http://schemas.microsoft.com/office/drawing/2014/main" id="{A4C65F87-928E-4223-8330-4EB184648CAD}"/>
            </a:ext>
          </a:extLst>
        </xdr:cNvPr>
        <xdr:cNvSpPr/>
      </xdr:nvSpPr>
      <xdr:spPr>
        <a:xfrm>
          <a:off x="1014692" y="2451100"/>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Type d'audit</a:t>
          </a:r>
        </a:p>
      </xdr:txBody>
    </xdr:sp>
    <xdr:clientData/>
  </xdr:twoCellAnchor>
  <xdr:twoCellAnchor editAs="absolute">
    <xdr:from>
      <xdr:col>1</xdr:col>
      <xdr:colOff>409574</xdr:colOff>
      <xdr:row>14</xdr:row>
      <xdr:rowOff>154641</xdr:rowOff>
    </xdr:from>
    <xdr:to>
      <xdr:col>4</xdr:col>
      <xdr:colOff>229574</xdr:colOff>
      <xdr:row>16</xdr:row>
      <xdr:rowOff>78441</xdr:rowOff>
    </xdr:to>
    <xdr:sp macro="" textlink="">
      <xdr:nvSpPr>
        <xdr:cNvPr id="5" name="Rectangle: Rounded Corners 4">
          <a:extLst>
            <a:ext uri="{FF2B5EF4-FFF2-40B4-BE49-F238E27FC236}">
              <a16:creationId xmlns:a16="http://schemas.microsoft.com/office/drawing/2014/main" id="{ED1ABE66-7888-4423-B6E1-C34E6AA1627F}"/>
            </a:ext>
          </a:extLst>
        </xdr:cNvPr>
        <xdr:cNvSpPr/>
      </xdr:nvSpPr>
      <xdr:spPr>
        <a:xfrm>
          <a:off x="1014692" y="2832847"/>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Organisme auditeur</a:t>
          </a:r>
        </a:p>
      </xdr:txBody>
    </xdr:sp>
    <xdr:clientData/>
  </xdr:twoCellAnchor>
  <xdr:twoCellAnchor editAs="absolute">
    <xdr:from>
      <xdr:col>1</xdr:col>
      <xdr:colOff>409574</xdr:colOff>
      <xdr:row>16</xdr:row>
      <xdr:rowOff>155388</xdr:rowOff>
    </xdr:from>
    <xdr:to>
      <xdr:col>4</xdr:col>
      <xdr:colOff>229574</xdr:colOff>
      <xdr:row>18</xdr:row>
      <xdr:rowOff>79188</xdr:rowOff>
    </xdr:to>
    <xdr:sp macro="" textlink="">
      <xdr:nvSpPr>
        <xdr:cNvPr id="6" name="Rectangle: Rounded Corners 5">
          <a:extLst>
            <a:ext uri="{FF2B5EF4-FFF2-40B4-BE49-F238E27FC236}">
              <a16:creationId xmlns:a16="http://schemas.microsoft.com/office/drawing/2014/main" id="{E9B5966A-7689-4723-8954-E17F2CBF8A46}"/>
            </a:ext>
          </a:extLst>
        </xdr:cNvPr>
        <xdr:cNvSpPr/>
      </xdr:nvSpPr>
      <xdr:spPr>
        <a:xfrm>
          <a:off x="1014692" y="3214594"/>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Nom de l'auditeur</a:t>
          </a:r>
        </a:p>
      </xdr:txBody>
    </xdr:sp>
    <xdr:clientData/>
  </xdr:twoCellAnchor>
  <xdr:twoCellAnchor>
    <xdr:from>
      <xdr:col>1</xdr:col>
      <xdr:colOff>285750</xdr:colOff>
      <xdr:row>28</xdr:row>
      <xdr:rowOff>47625</xdr:rowOff>
    </xdr:from>
    <xdr:to>
      <xdr:col>6</xdr:col>
      <xdr:colOff>323850</xdr:colOff>
      <xdr:row>29</xdr:row>
      <xdr:rowOff>153600</xdr:rowOff>
    </xdr:to>
    <xdr:sp macro="" textlink="">
      <xdr:nvSpPr>
        <xdr:cNvPr id="7" name="Parallelogram 6">
          <a:extLst>
            <a:ext uri="{FF2B5EF4-FFF2-40B4-BE49-F238E27FC236}">
              <a16:creationId xmlns:a16="http://schemas.microsoft.com/office/drawing/2014/main" id="{8EC30E22-89B3-4E54-9BCE-3EA8820D51A4}"/>
            </a:ext>
          </a:extLst>
        </xdr:cNvPr>
        <xdr:cNvSpPr/>
      </xdr:nvSpPr>
      <xdr:spPr>
        <a:xfrm>
          <a:off x="895350" y="3876675"/>
          <a:ext cx="3086100" cy="30600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Identification de l'exploitation auditée</a:t>
          </a:r>
        </a:p>
      </xdr:txBody>
    </xdr:sp>
    <xdr:clientData/>
  </xdr:twoCellAnchor>
  <xdr:twoCellAnchor>
    <xdr:from>
      <xdr:col>1</xdr:col>
      <xdr:colOff>409574</xdr:colOff>
      <xdr:row>30</xdr:row>
      <xdr:rowOff>133350</xdr:rowOff>
    </xdr:from>
    <xdr:to>
      <xdr:col>4</xdr:col>
      <xdr:colOff>229574</xdr:colOff>
      <xdr:row>32</xdr:row>
      <xdr:rowOff>57150</xdr:rowOff>
    </xdr:to>
    <xdr:sp macro="" textlink="">
      <xdr:nvSpPr>
        <xdr:cNvPr id="8" name="Rectangle: Rounded Corners 7">
          <a:extLst>
            <a:ext uri="{FF2B5EF4-FFF2-40B4-BE49-F238E27FC236}">
              <a16:creationId xmlns:a16="http://schemas.microsoft.com/office/drawing/2014/main" id="{D36CD8FF-D41B-4905-AE9D-539BFF874E40}"/>
            </a:ext>
          </a:extLst>
        </xdr:cNvPr>
        <xdr:cNvSpPr/>
      </xdr:nvSpPr>
      <xdr:spPr>
        <a:xfrm>
          <a:off x="1019174" y="3771900"/>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Nom de l'exploitant</a:t>
          </a:r>
        </a:p>
      </xdr:txBody>
    </xdr:sp>
    <xdr:clientData/>
  </xdr:twoCellAnchor>
  <xdr:twoCellAnchor>
    <xdr:from>
      <xdr:col>1</xdr:col>
      <xdr:colOff>409574</xdr:colOff>
      <xdr:row>32</xdr:row>
      <xdr:rowOff>130549</xdr:rowOff>
    </xdr:from>
    <xdr:to>
      <xdr:col>4</xdr:col>
      <xdr:colOff>229574</xdr:colOff>
      <xdr:row>34</xdr:row>
      <xdr:rowOff>54349</xdr:rowOff>
    </xdr:to>
    <xdr:sp macro="" textlink="">
      <xdr:nvSpPr>
        <xdr:cNvPr id="9" name="Rectangle: Rounded Corners 8">
          <a:extLst>
            <a:ext uri="{FF2B5EF4-FFF2-40B4-BE49-F238E27FC236}">
              <a16:creationId xmlns:a16="http://schemas.microsoft.com/office/drawing/2014/main" id="{A3891D50-8173-4EB5-9BFD-3CEF2745EAAB}"/>
            </a:ext>
          </a:extLst>
        </xdr:cNvPr>
        <xdr:cNvSpPr/>
      </xdr:nvSpPr>
      <xdr:spPr>
        <a:xfrm>
          <a:off x="1014692" y="5498167"/>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Raison sociale</a:t>
          </a:r>
        </a:p>
      </xdr:txBody>
    </xdr:sp>
    <xdr:clientData/>
  </xdr:twoCellAnchor>
  <xdr:twoCellAnchor>
    <xdr:from>
      <xdr:col>1</xdr:col>
      <xdr:colOff>409574</xdr:colOff>
      <xdr:row>34</xdr:row>
      <xdr:rowOff>127748</xdr:rowOff>
    </xdr:from>
    <xdr:to>
      <xdr:col>4</xdr:col>
      <xdr:colOff>229574</xdr:colOff>
      <xdr:row>36</xdr:row>
      <xdr:rowOff>51548</xdr:rowOff>
    </xdr:to>
    <xdr:sp macro="" textlink="">
      <xdr:nvSpPr>
        <xdr:cNvPr id="10" name="Rectangle: Rounded Corners 9">
          <a:extLst>
            <a:ext uri="{FF2B5EF4-FFF2-40B4-BE49-F238E27FC236}">
              <a16:creationId xmlns:a16="http://schemas.microsoft.com/office/drawing/2014/main" id="{CA93C9CB-7394-4F77-8A23-01B100880561}"/>
            </a:ext>
          </a:extLst>
        </xdr:cNvPr>
        <xdr:cNvSpPr/>
      </xdr:nvSpPr>
      <xdr:spPr>
        <a:xfrm>
          <a:off x="1014692" y="5876366"/>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SIRET</a:t>
          </a:r>
        </a:p>
      </xdr:txBody>
    </xdr:sp>
    <xdr:clientData/>
  </xdr:twoCellAnchor>
  <xdr:twoCellAnchor editAs="oneCell">
    <xdr:from>
      <xdr:col>1</xdr:col>
      <xdr:colOff>409574</xdr:colOff>
      <xdr:row>38</xdr:row>
      <xdr:rowOff>122148</xdr:rowOff>
    </xdr:from>
    <xdr:to>
      <xdr:col>4</xdr:col>
      <xdr:colOff>229574</xdr:colOff>
      <xdr:row>40</xdr:row>
      <xdr:rowOff>45948</xdr:rowOff>
    </xdr:to>
    <xdr:sp macro="" textlink="">
      <xdr:nvSpPr>
        <xdr:cNvPr id="11" name="Rectangle: Rounded Corners 10">
          <a:extLst>
            <a:ext uri="{FF2B5EF4-FFF2-40B4-BE49-F238E27FC236}">
              <a16:creationId xmlns:a16="http://schemas.microsoft.com/office/drawing/2014/main" id="{978F52CB-4744-44C1-8D34-1935C78BB1ED}"/>
            </a:ext>
          </a:extLst>
        </xdr:cNvPr>
        <xdr:cNvSpPr/>
      </xdr:nvSpPr>
      <xdr:spPr>
        <a:xfrm>
          <a:off x="1014692" y="6632766"/>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Année de création</a:t>
          </a:r>
        </a:p>
      </xdr:txBody>
    </xdr:sp>
    <xdr:clientData/>
  </xdr:twoCellAnchor>
  <xdr:twoCellAnchor>
    <xdr:from>
      <xdr:col>1</xdr:col>
      <xdr:colOff>409574</xdr:colOff>
      <xdr:row>43</xdr:row>
      <xdr:rowOff>136525</xdr:rowOff>
    </xdr:from>
    <xdr:to>
      <xdr:col>4</xdr:col>
      <xdr:colOff>229574</xdr:colOff>
      <xdr:row>45</xdr:row>
      <xdr:rowOff>60325</xdr:rowOff>
    </xdr:to>
    <xdr:sp macro="" textlink="">
      <xdr:nvSpPr>
        <xdr:cNvPr id="12" name="Rectangle: Rounded Corners 11">
          <a:extLst>
            <a:ext uri="{FF2B5EF4-FFF2-40B4-BE49-F238E27FC236}">
              <a16:creationId xmlns:a16="http://schemas.microsoft.com/office/drawing/2014/main" id="{F175C9C9-3419-493F-B62B-2C9A4E921E70}"/>
            </a:ext>
          </a:extLst>
        </xdr:cNvPr>
        <xdr:cNvSpPr/>
      </xdr:nvSpPr>
      <xdr:spPr>
        <a:xfrm>
          <a:off x="1019174" y="5870575"/>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Adresse complément</a:t>
          </a:r>
        </a:p>
      </xdr:txBody>
    </xdr:sp>
    <xdr:clientData/>
  </xdr:twoCellAnchor>
  <xdr:twoCellAnchor>
    <xdr:from>
      <xdr:col>1</xdr:col>
      <xdr:colOff>409574</xdr:colOff>
      <xdr:row>45</xdr:row>
      <xdr:rowOff>130175</xdr:rowOff>
    </xdr:from>
    <xdr:to>
      <xdr:col>4</xdr:col>
      <xdr:colOff>229574</xdr:colOff>
      <xdr:row>47</xdr:row>
      <xdr:rowOff>53975</xdr:rowOff>
    </xdr:to>
    <xdr:sp macro="" textlink="">
      <xdr:nvSpPr>
        <xdr:cNvPr id="13" name="Rectangle: Rounded Corners 12">
          <a:extLst>
            <a:ext uri="{FF2B5EF4-FFF2-40B4-BE49-F238E27FC236}">
              <a16:creationId xmlns:a16="http://schemas.microsoft.com/office/drawing/2014/main" id="{0B9E9EA0-F7ED-43E2-B46D-CBB380FE020B}"/>
            </a:ext>
          </a:extLst>
        </xdr:cNvPr>
        <xdr:cNvSpPr/>
      </xdr:nvSpPr>
      <xdr:spPr>
        <a:xfrm>
          <a:off x="1019174" y="6245225"/>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Code postal</a:t>
          </a:r>
        </a:p>
      </xdr:txBody>
    </xdr:sp>
    <xdr:clientData/>
  </xdr:twoCellAnchor>
  <xdr:twoCellAnchor>
    <xdr:from>
      <xdr:col>1</xdr:col>
      <xdr:colOff>409574</xdr:colOff>
      <xdr:row>47</xdr:row>
      <xdr:rowOff>123825</xdr:rowOff>
    </xdr:from>
    <xdr:to>
      <xdr:col>4</xdr:col>
      <xdr:colOff>229574</xdr:colOff>
      <xdr:row>49</xdr:row>
      <xdr:rowOff>47625</xdr:rowOff>
    </xdr:to>
    <xdr:sp macro="" textlink="">
      <xdr:nvSpPr>
        <xdr:cNvPr id="14" name="Rectangle: Rounded Corners 13">
          <a:extLst>
            <a:ext uri="{FF2B5EF4-FFF2-40B4-BE49-F238E27FC236}">
              <a16:creationId xmlns:a16="http://schemas.microsoft.com/office/drawing/2014/main" id="{A8DCDC8E-005C-4616-8C4F-1F34C006AB93}"/>
            </a:ext>
          </a:extLst>
        </xdr:cNvPr>
        <xdr:cNvSpPr/>
      </xdr:nvSpPr>
      <xdr:spPr>
        <a:xfrm>
          <a:off x="1019174" y="6619875"/>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Commune</a:t>
          </a:r>
        </a:p>
      </xdr:txBody>
    </xdr:sp>
    <xdr:clientData/>
  </xdr:twoCellAnchor>
  <xdr:twoCellAnchor>
    <xdr:from>
      <xdr:col>1</xdr:col>
      <xdr:colOff>409574</xdr:colOff>
      <xdr:row>41</xdr:row>
      <xdr:rowOff>142875</xdr:rowOff>
    </xdr:from>
    <xdr:to>
      <xdr:col>4</xdr:col>
      <xdr:colOff>229574</xdr:colOff>
      <xdr:row>43</xdr:row>
      <xdr:rowOff>66675</xdr:rowOff>
    </xdr:to>
    <xdr:sp macro="" textlink="">
      <xdr:nvSpPr>
        <xdr:cNvPr id="15" name="Rectangle: Rounded Corners 14">
          <a:extLst>
            <a:ext uri="{FF2B5EF4-FFF2-40B4-BE49-F238E27FC236}">
              <a16:creationId xmlns:a16="http://schemas.microsoft.com/office/drawing/2014/main" id="{88B81ECD-F231-4540-AD7A-3CC15C59AC84}"/>
            </a:ext>
          </a:extLst>
        </xdr:cNvPr>
        <xdr:cNvSpPr/>
      </xdr:nvSpPr>
      <xdr:spPr>
        <a:xfrm>
          <a:off x="1019174" y="5495925"/>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Adresse </a:t>
          </a:r>
        </a:p>
      </xdr:txBody>
    </xdr:sp>
    <xdr:clientData/>
  </xdr:twoCellAnchor>
  <xdr:twoCellAnchor>
    <xdr:from>
      <xdr:col>14</xdr:col>
      <xdr:colOff>114300</xdr:colOff>
      <xdr:row>43</xdr:row>
      <xdr:rowOff>107950</xdr:rowOff>
    </xdr:from>
    <xdr:to>
      <xdr:col>16</xdr:col>
      <xdr:colOff>543900</xdr:colOff>
      <xdr:row>45</xdr:row>
      <xdr:rowOff>31750</xdr:rowOff>
    </xdr:to>
    <xdr:sp macro="" textlink="">
      <xdr:nvSpPr>
        <xdr:cNvPr id="19" name="Rectangle: Rounded Corners 18">
          <a:extLst>
            <a:ext uri="{FF2B5EF4-FFF2-40B4-BE49-F238E27FC236}">
              <a16:creationId xmlns:a16="http://schemas.microsoft.com/office/drawing/2014/main" id="{5191E3C2-3F06-4180-9E88-9BAC04863EAD}"/>
            </a:ext>
          </a:extLst>
        </xdr:cNvPr>
        <xdr:cNvSpPr/>
      </xdr:nvSpPr>
      <xdr:spPr>
        <a:xfrm>
          <a:off x="8648700" y="5842000"/>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Adresse e-mail</a:t>
          </a:r>
        </a:p>
      </xdr:txBody>
    </xdr:sp>
    <xdr:clientData/>
  </xdr:twoCellAnchor>
  <xdr:twoCellAnchor>
    <xdr:from>
      <xdr:col>14</xdr:col>
      <xdr:colOff>114300</xdr:colOff>
      <xdr:row>45</xdr:row>
      <xdr:rowOff>101600</xdr:rowOff>
    </xdr:from>
    <xdr:to>
      <xdr:col>16</xdr:col>
      <xdr:colOff>543900</xdr:colOff>
      <xdr:row>47</xdr:row>
      <xdr:rowOff>25400</xdr:rowOff>
    </xdr:to>
    <xdr:sp macro="" textlink="">
      <xdr:nvSpPr>
        <xdr:cNvPr id="20" name="Rectangle: Rounded Corners 19">
          <a:extLst>
            <a:ext uri="{FF2B5EF4-FFF2-40B4-BE49-F238E27FC236}">
              <a16:creationId xmlns:a16="http://schemas.microsoft.com/office/drawing/2014/main" id="{BE864A9B-B7DF-4B45-8B36-5A1BB64C10E1}"/>
            </a:ext>
          </a:extLst>
        </xdr:cNvPr>
        <xdr:cNvSpPr/>
      </xdr:nvSpPr>
      <xdr:spPr>
        <a:xfrm>
          <a:off x="8648700" y="6216650"/>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Site Internet</a:t>
          </a:r>
        </a:p>
      </xdr:txBody>
    </xdr:sp>
    <xdr:clientData/>
  </xdr:twoCellAnchor>
  <xdr:twoCellAnchor>
    <xdr:from>
      <xdr:col>14</xdr:col>
      <xdr:colOff>114299</xdr:colOff>
      <xdr:row>47</xdr:row>
      <xdr:rowOff>95250</xdr:rowOff>
    </xdr:from>
    <xdr:to>
      <xdr:col>19</xdr:col>
      <xdr:colOff>180974</xdr:colOff>
      <xdr:row>49</xdr:row>
      <xdr:rowOff>19050</xdr:rowOff>
    </xdr:to>
    <xdr:sp macro="" textlink="">
      <xdr:nvSpPr>
        <xdr:cNvPr id="21" name="Rectangle: Rounded Corners 20">
          <a:extLst>
            <a:ext uri="{FF2B5EF4-FFF2-40B4-BE49-F238E27FC236}">
              <a16:creationId xmlns:a16="http://schemas.microsoft.com/office/drawing/2014/main" id="{A154AC69-C5FA-4A30-A770-F54DE5CAF43E}"/>
            </a:ext>
          </a:extLst>
        </xdr:cNvPr>
        <xdr:cNvSpPr/>
      </xdr:nvSpPr>
      <xdr:spPr>
        <a:xfrm>
          <a:off x="8648699" y="6591300"/>
          <a:ext cx="3114675"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Autorisation de référencement dans l'annuaire</a:t>
          </a:r>
        </a:p>
      </xdr:txBody>
    </xdr:sp>
    <xdr:clientData/>
  </xdr:twoCellAnchor>
  <xdr:twoCellAnchor>
    <xdr:from>
      <xdr:col>14</xdr:col>
      <xdr:colOff>112060</xdr:colOff>
      <xdr:row>41</xdr:row>
      <xdr:rowOff>114300</xdr:rowOff>
    </xdr:from>
    <xdr:to>
      <xdr:col>16</xdr:col>
      <xdr:colOff>541660</xdr:colOff>
      <xdr:row>43</xdr:row>
      <xdr:rowOff>38100</xdr:rowOff>
    </xdr:to>
    <xdr:sp macro="" textlink="">
      <xdr:nvSpPr>
        <xdr:cNvPr id="22" name="Rectangle: Rounded Corners 21">
          <a:extLst>
            <a:ext uri="{FF2B5EF4-FFF2-40B4-BE49-F238E27FC236}">
              <a16:creationId xmlns:a16="http://schemas.microsoft.com/office/drawing/2014/main" id="{14F4B967-657C-4F96-BA47-8044D569DE94}"/>
            </a:ext>
          </a:extLst>
        </xdr:cNvPr>
        <xdr:cNvSpPr/>
      </xdr:nvSpPr>
      <xdr:spPr>
        <a:xfrm>
          <a:off x="8583707" y="6434418"/>
          <a:ext cx="1639835"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Numéro de téléphone </a:t>
          </a:r>
        </a:p>
      </xdr:txBody>
    </xdr:sp>
    <xdr:clientData/>
  </xdr:twoCellAnchor>
  <xdr:twoCellAnchor>
    <xdr:from>
      <xdr:col>1</xdr:col>
      <xdr:colOff>228600</xdr:colOff>
      <xdr:row>52</xdr:row>
      <xdr:rowOff>38100</xdr:rowOff>
    </xdr:from>
    <xdr:to>
      <xdr:col>5</xdr:col>
      <xdr:colOff>209550</xdr:colOff>
      <xdr:row>53</xdr:row>
      <xdr:rowOff>144075</xdr:rowOff>
    </xdr:to>
    <xdr:sp macro="" textlink="">
      <xdr:nvSpPr>
        <xdr:cNvPr id="23" name="Parallelogram 22">
          <a:extLst>
            <a:ext uri="{FF2B5EF4-FFF2-40B4-BE49-F238E27FC236}">
              <a16:creationId xmlns:a16="http://schemas.microsoft.com/office/drawing/2014/main" id="{0290478F-556B-4E97-AE6A-3A482800987C}"/>
            </a:ext>
          </a:extLst>
        </xdr:cNvPr>
        <xdr:cNvSpPr/>
      </xdr:nvSpPr>
      <xdr:spPr>
        <a:xfrm>
          <a:off x="833718" y="9988924"/>
          <a:ext cx="2401420" cy="30768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Caractéristiques générales </a:t>
          </a:r>
        </a:p>
      </xdr:txBody>
    </xdr:sp>
    <xdr:clientData/>
  </xdr:twoCellAnchor>
  <xdr:twoCellAnchor>
    <xdr:from>
      <xdr:col>1</xdr:col>
      <xdr:colOff>523875</xdr:colOff>
      <xdr:row>54</xdr:row>
      <xdr:rowOff>152400</xdr:rowOff>
    </xdr:from>
    <xdr:to>
      <xdr:col>4</xdr:col>
      <xdr:colOff>343875</xdr:colOff>
      <xdr:row>56</xdr:row>
      <xdr:rowOff>76200</xdr:rowOff>
    </xdr:to>
    <xdr:sp macro="" textlink="">
      <xdr:nvSpPr>
        <xdr:cNvPr id="24" name="Rectangle: Rounded Corners 23">
          <a:extLst>
            <a:ext uri="{FF2B5EF4-FFF2-40B4-BE49-F238E27FC236}">
              <a16:creationId xmlns:a16="http://schemas.microsoft.com/office/drawing/2014/main" id="{C9D7BE13-0140-40A5-B69C-D09F5EB96321}"/>
            </a:ext>
          </a:extLst>
        </xdr:cNvPr>
        <xdr:cNvSpPr/>
      </xdr:nvSpPr>
      <xdr:spPr>
        <a:xfrm>
          <a:off x="1133475" y="8191500"/>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Statut juridique</a:t>
          </a:r>
        </a:p>
      </xdr:txBody>
    </xdr:sp>
    <xdr:clientData/>
  </xdr:twoCellAnchor>
  <xdr:twoCellAnchor>
    <xdr:from>
      <xdr:col>1</xdr:col>
      <xdr:colOff>523875</xdr:colOff>
      <xdr:row>57</xdr:row>
      <xdr:rowOff>66675</xdr:rowOff>
    </xdr:from>
    <xdr:to>
      <xdr:col>4</xdr:col>
      <xdr:colOff>343875</xdr:colOff>
      <xdr:row>58</xdr:row>
      <xdr:rowOff>180975</xdr:rowOff>
    </xdr:to>
    <xdr:sp macro="" textlink="">
      <xdr:nvSpPr>
        <xdr:cNvPr id="25" name="Rectangle: Rounded Corners 24">
          <a:extLst>
            <a:ext uri="{FF2B5EF4-FFF2-40B4-BE49-F238E27FC236}">
              <a16:creationId xmlns:a16="http://schemas.microsoft.com/office/drawing/2014/main" id="{EB2A3DA8-23A8-4EAB-9A38-A76D63E43A64}"/>
            </a:ext>
          </a:extLst>
        </xdr:cNvPr>
        <xdr:cNvSpPr/>
      </xdr:nvSpPr>
      <xdr:spPr>
        <a:xfrm>
          <a:off x="1133475" y="8677275"/>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Activité végétale</a:t>
          </a:r>
        </a:p>
      </xdr:txBody>
    </xdr:sp>
    <xdr:clientData/>
  </xdr:twoCellAnchor>
  <xdr:twoCellAnchor>
    <xdr:from>
      <xdr:col>3</xdr:col>
      <xdr:colOff>57150</xdr:colOff>
      <xdr:row>59</xdr:row>
      <xdr:rowOff>171450</xdr:rowOff>
    </xdr:from>
    <xdr:to>
      <xdr:col>5</xdr:col>
      <xdr:colOff>600075</xdr:colOff>
      <xdr:row>61</xdr:row>
      <xdr:rowOff>76200</xdr:rowOff>
    </xdr:to>
    <xdr:sp macro="" textlink="">
      <xdr:nvSpPr>
        <xdr:cNvPr id="26" name="Rectangle 25">
          <a:extLst>
            <a:ext uri="{FF2B5EF4-FFF2-40B4-BE49-F238E27FC236}">
              <a16:creationId xmlns:a16="http://schemas.microsoft.com/office/drawing/2014/main" id="{459AA8FD-5D7D-E6F8-FAAE-3D46AED34A01}"/>
            </a:ext>
          </a:extLst>
        </xdr:cNvPr>
        <xdr:cNvSpPr/>
      </xdr:nvSpPr>
      <xdr:spPr>
        <a:xfrm>
          <a:off x="1885950" y="9163050"/>
          <a:ext cx="1762125" cy="28575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Activité principale	</a:t>
          </a:r>
          <a:endParaRPr lang="fr-FR" sz="1100"/>
        </a:p>
      </xdr:txBody>
    </xdr:sp>
    <xdr:clientData/>
  </xdr:twoCellAnchor>
  <xdr:twoCellAnchor>
    <xdr:from>
      <xdr:col>3</xdr:col>
      <xdr:colOff>57150</xdr:colOff>
      <xdr:row>61</xdr:row>
      <xdr:rowOff>161925</xdr:rowOff>
    </xdr:from>
    <xdr:to>
      <xdr:col>5</xdr:col>
      <xdr:colOff>600075</xdr:colOff>
      <xdr:row>63</xdr:row>
      <xdr:rowOff>66675</xdr:rowOff>
    </xdr:to>
    <xdr:sp macro="" textlink="">
      <xdr:nvSpPr>
        <xdr:cNvPr id="27" name="Rectangle 26">
          <a:extLst>
            <a:ext uri="{FF2B5EF4-FFF2-40B4-BE49-F238E27FC236}">
              <a16:creationId xmlns:a16="http://schemas.microsoft.com/office/drawing/2014/main" id="{3500CAFE-C28A-4CE9-8452-02BAB4F79668}"/>
            </a:ext>
          </a:extLst>
        </xdr:cNvPr>
        <xdr:cNvSpPr/>
      </xdr:nvSpPr>
      <xdr:spPr>
        <a:xfrm>
          <a:off x="1885950" y="9534525"/>
          <a:ext cx="1762125" cy="28575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Activité</a:t>
          </a:r>
          <a:r>
            <a:rPr lang="fr-FR" sz="1100" baseline="0"/>
            <a:t> secondaire</a:t>
          </a:r>
          <a:endParaRPr lang="fr-FR" sz="1100"/>
        </a:p>
      </xdr:txBody>
    </xdr:sp>
    <xdr:clientData/>
  </xdr:twoCellAnchor>
  <xdr:twoCellAnchor>
    <xdr:from>
      <xdr:col>3</xdr:col>
      <xdr:colOff>57150</xdr:colOff>
      <xdr:row>63</xdr:row>
      <xdr:rowOff>152400</xdr:rowOff>
    </xdr:from>
    <xdr:to>
      <xdr:col>5</xdr:col>
      <xdr:colOff>600075</xdr:colOff>
      <xdr:row>65</xdr:row>
      <xdr:rowOff>57150</xdr:rowOff>
    </xdr:to>
    <xdr:sp macro="" textlink="">
      <xdr:nvSpPr>
        <xdr:cNvPr id="28" name="Rectangle 27">
          <a:extLst>
            <a:ext uri="{FF2B5EF4-FFF2-40B4-BE49-F238E27FC236}">
              <a16:creationId xmlns:a16="http://schemas.microsoft.com/office/drawing/2014/main" id="{78F6D358-59D5-4E40-AA65-9F7515EA88A7}"/>
            </a:ext>
          </a:extLst>
        </xdr:cNvPr>
        <xdr:cNvSpPr/>
      </xdr:nvSpPr>
      <xdr:spPr>
        <a:xfrm>
          <a:off x="1885950" y="9906000"/>
          <a:ext cx="1762125" cy="28575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Autre activité	</a:t>
          </a:r>
          <a:endParaRPr lang="fr-FR" sz="1100"/>
        </a:p>
      </xdr:txBody>
    </xdr:sp>
    <xdr:clientData/>
  </xdr:twoCellAnchor>
  <xdr:twoCellAnchor>
    <xdr:from>
      <xdr:col>13</xdr:col>
      <xdr:colOff>514350</xdr:colOff>
      <xdr:row>57</xdr:row>
      <xdr:rowOff>66675</xdr:rowOff>
    </xdr:from>
    <xdr:to>
      <xdr:col>16</xdr:col>
      <xdr:colOff>334350</xdr:colOff>
      <xdr:row>58</xdr:row>
      <xdr:rowOff>180975</xdr:rowOff>
    </xdr:to>
    <xdr:sp macro="" textlink="">
      <xdr:nvSpPr>
        <xdr:cNvPr id="29" name="Rectangle: Rounded Corners 28">
          <a:extLst>
            <a:ext uri="{FF2B5EF4-FFF2-40B4-BE49-F238E27FC236}">
              <a16:creationId xmlns:a16="http://schemas.microsoft.com/office/drawing/2014/main" id="{2C9A30BD-9ECF-4F04-9449-868C464FB0EC}"/>
            </a:ext>
          </a:extLst>
        </xdr:cNvPr>
        <xdr:cNvSpPr/>
      </xdr:nvSpPr>
      <xdr:spPr>
        <a:xfrm>
          <a:off x="8439150" y="8677275"/>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Activité animale</a:t>
          </a:r>
        </a:p>
      </xdr:txBody>
    </xdr:sp>
    <xdr:clientData/>
  </xdr:twoCellAnchor>
  <xdr:twoCellAnchor>
    <xdr:from>
      <xdr:col>15</xdr:col>
      <xdr:colOff>47625</xdr:colOff>
      <xdr:row>59</xdr:row>
      <xdr:rowOff>171450</xdr:rowOff>
    </xdr:from>
    <xdr:to>
      <xdr:col>17</xdr:col>
      <xdr:colOff>590550</xdr:colOff>
      <xdr:row>61</xdr:row>
      <xdr:rowOff>76200</xdr:rowOff>
    </xdr:to>
    <xdr:sp macro="" textlink="">
      <xdr:nvSpPr>
        <xdr:cNvPr id="30" name="Rectangle 29">
          <a:extLst>
            <a:ext uri="{FF2B5EF4-FFF2-40B4-BE49-F238E27FC236}">
              <a16:creationId xmlns:a16="http://schemas.microsoft.com/office/drawing/2014/main" id="{6D944029-3F1A-4077-A508-8BBCCE92775C}"/>
            </a:ext>
          </a:extLst>
        </xdr:cNvPr>
        <xdr:cNvSpPr/>
      </xdr:nvSpPr>
      <xdr:spPr>
        <a:xfrm>
          <a:off x="9191625" y="9163050"/>
          <a:ext cx="1762125" cy="28575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Activité principale	</a:t>
          </a:r>
          <a:endParaRPr lang="fr-FR" sz="1100"/>
        </a:p>
      </xdr:txBody>
    </xdr:sp>
    <xdr:clientData/>
  </xdr:twoCellAnchor>
  <xdr:twoCellAnchor>
    <xdr:from>
      <xdr:col>15</xdr:col>
      <xdr:colOff>47625</xdr:colOff>
      <xdr:row>61</xdr:row>
      <xdr:rowOff>161925</xdr:rowOff>
    </xdr:from>
    <xdr:to>
      <xdr:col>17</xdr:col>
      <xdr:colOff>590550</xdr:colOff>
      <xdr:row>63</xdr:row>
      <xdr:rowOff>66675</xdr:rowOff>
    </xdr:to>
    <xdr:sp macro="" textlink="">
      <xdr:nvSpPr>
        <xdr:cNvPr id="31" name="Rectangle 30">
          <a:extLst>
            <a:ext uri="{FF2B5EF4-FFF2-40B4-BE49-F238E27FC236}">
              <a16:creationId xmlns:a16="http://schemas.microsoft.com/office/drawing/2014/main" id="{DC2315D7-86D9-4120-847E-D08502E3B04A}"/>
            </a:ext>
          </a:extLst>
        </xdr:cNvPr>
        <xdr:cNvSpPr/>
      </xdr:nvSpPr>
      <xdr:spPr>
        <a:xfrm>
          <a:off x="9191625" y="9534525"/>
          <a:ext cx="1762125" cy="28575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Activité</a:t>
          </a:r>
          <a:r>
            <a:rPr lang="fr-FR" sz="1100" baseline="0"/>
            <a:t> secondaire</a:t>
          </a:r>
          <a:endParaRPr lang="fr-FR" sz="1100"/>
        </a:p>
      </xdr:txBody>
    </xdr:sp>
    <xdr:clientData/>
  </xdr:twoCellAnchor>
  <xdr:twoCellAnchor>
    <xdr:from>
      <xdr:col>15</xdr:col>
      <xdr:colOff>47625</xdr:colOff>
      <xdr:row>63</xdr:row>
      <xdr:rowOff>152400</xdr:rowOff>
    </xdr:from>
    <xdr:to>
      <xdr:col>17</xdr:col>
      <xdr:colOff>590550</xdr:colOff>
      <xdr:row>65</xdr:row>
      <xdr:rowOff>57150</xdr:rowOff>
    </xdr:to>
    <xdr:sp macro="" textlink="">
      <xdr:nvSpPr>
        <xdr:cNvPr id="32" name="Rectangle 31">
          <a:extLst>
            <a:ext uri="{FF2B5EF4-FFF2-40B4-BE49-F238E27FC236}">
              <a16:creationId xmlns:a16="http://schemas.microsoft.com/office/drawing/2014/main" id="{F93FF964-D1D6-47F9-937F-3DA7C7623AC4}"/>
            </a:ext>
          </a:extLst>
        </xdr:cNvPr>
        <xdr:cNvSpPr/>
      </xdr:nvSpPr>
      <xdr:spPr>
        <a:xfrm>
          <a:off x="9191625" y="9906000"/>
          <a:ext cx="1762125" cy="28575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Autre activité	</a:t>
          </a:r>
          <a:endParaRPr lang="fr-FR" sz="1100"/>
        </a:p>
      </xdr:txBody>
    </xdr:sp>
    <xdr:clientData/>
  </xdr:twoCellAnchor>
  <xdr:twoCellAnchor editAs="absolute">
    <xdr:from>
      <xdr:col>2</xdr:col>
      <xdr:colOff>0</xdr:colOff>
      <xdr:row>67</xdr:row>
      <xdr:rowOff>96387</xdr:rowOff>
    </xdr:from>
    <xdr:to>
      <xdr:col>4</xdr:col>
      <xdr:colOff>429600</xdr:colOff>
      <xdr:row>69</xdr:row>
      <xdr:rowOff>20187</xdr:rowOff>
    </xdr:to>
    <xdr:sp macro="" textlink="">
      <xdr:nvSpPr>
        <xdr:cNvPr id="33" name="Rectangle: Rounded Corners 32">
          <a:extLst>
            <a:ext uri="{FF2B5EF4-FFF2-40B4-BE49-F238E27FC236}">
              <a16:creationId xmlns:a16="http://schemas.microsoft.com/office/drawing/2014/main" id="{5C7124E5-0C8E-489F-955D-3F313A7E02DF}"/>
            </a:ext>
          </a:extLst>
        </xdr:cNvPr>
        <xdr:cNvSpPr/>
      </xdr:nvSpPr>
      <xdr:spPr>
        <a:xfrm>
          <a:off x="1210235" y="12915916"/>
          <a:ext cx="1639836"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OTEX</a:t>
          </a:r>
        </a:p>
      </xdr:txBody>
    </xdr:sp>
    <xdr:clientData/>
  </xdr:twoCellAnchor>
  <xdr:twoCellAnchor>
    <xdr:from>
      <xdr:col>1</xdr:col>
      <xdr:colOff>200025</xdr:colOff>
      <xdr:row>76</xdr:row>
      <xdr:rowOff>39781</xdr:rowOff>
    </xdr:from>
    <xdr:to>
      <xdr:col>6</xdr:col>
      <xdr:colOff>238125</xdr:colOff>
      <xdr:row>77</xdr:row>
      <xdr:rowOff>145756</xdr:rowOff>
    </xdr:to>
    <xdr:sp macro="" textlink="">
      <xdr:nvSpPr>
        <xdr:cNvPr id="41" name="Parallelogram 40">
          <a:extLst>
            <a:ext uri="{FF2B5EF4-FFF2-40B4-BE49-F238E27FC236}">
              <a16:creationId xmlns:a16="http://schemas.microsoft.com/office/drawing/2014/main" id="{2C45C3E6-DDF9-4C0B-B910-3ECEEA03E309}"/>
            </a:ext>
          </a:extLst>
        </xdr:cNvPr>
        <xdr:cNvSpPr/>
      </xdr:nvSpPr>
      <xdr:spPr>
        <a:xfrm>
          <a:off x="805143" y="14585016"/>
          <a:ext cx="3063688" cy="3076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Niveaux de certification de l'exploitation</a:t>
          </a:r>
        </a:p>
      </xdr:txBody>
    </xdr:sp>
    <xdr:clientData/>
  </xdr:twoCellAnchor>
  <xdr:twoCellAnchor>
    <xdr:from>
      <xdr:col>2</xdr:col>
      <xdr:colOff>85725</xdr:colOff>
      <xdr:row>78</xdr:row>
      <xdr:rowOff>123825</xdr:rowOff>
    </xdr:from>
    <xdr:to>
      <xdr:col>4</xdr:col>
      <xdr:colOff>515325</xdr:colOff>
      <xdr:row>80</xdr:row>
      <xdr:rowOff>47625</xdr:rowOff>
    </xdr:to>
    <xdr:sp macro="" textlink="">
      <xdr:nvSpPr>
        <xdr:cNvPr id="42" name="Rectangle: Rounded Corners 41">
          <a:extLst>
            <a:ext uri="{FF2B5EF4-FFF2-40B4-BE49-F238E27FC236}">
              <a16:creationId xmlns:a16="http://schemas.microsoft.com/office/drawing/2014/main" id="{CE9C2942-24FC-4B6D-96FC-0E6229617DE8}"/>
            </a:ext>
          </a:extLst>
        </xdr:cNvPr>
        <xdr:cNvSpPr/>
      </xdr:nvSpPr>
      <xdr:spPr>
        <a:xfrm>
          <a:off x="1295960" y="15823266"/>
          <a:ext cx="1639836"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Niveau 1 obtenu</a:t>
          </a:r>
        </a:p>
      </xdr:txBody>
    </xdr:sp>
    <xdr:clientData/>
  </xdr:twoCellAnchor>
  <xdr:twoCellAnchor>
    <xdr:from>
      <xdr:col>8</xdr:col>
      <xdr:colOff>0</xdr:colOff>
      <xdr:row>78</xdr:row>
      <xdr:rowOff>123825</xdr:rowOff>
    </xdr:from>
    <xdr:to>
      <xdr:col>10</xdr:col>
      <xdr:colOff>429600</xdr:colOff>
      <xdr:row>80</xdr:row>
      <xdr:rowOff>47625</xdr:rowOff>
    </xdr:to>
    <xdr:sp macro="" textlink="">
      <xdr:nvSpPr>
        <xdr:cNvPr id="43" name="Rectangle: Rounded Corners 42">
          <a:extLst>
            <a:ext uri="{FF2B5EF4-FFF2-40B4-BE49-F238E27FC236}">
              <a16:creationId xmlns:a16="http://schemas.microsoft.com/office/drawing/2014/main" id="{8BDBE51F-5F24-4B9E-9EE5-32B01371FA95}"/>
            </a:ext>
          </a:extLst>
        </xdr:cNvPr>
        <xdr:cNvSpPr/>
      </xdr:nvSpPr>
      <xdr:spPr>
        <a:xfrm>
          <a:off x="4840941" y="16966266"/>
          <a:ext cx="1639835"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Date Attestation N1</a:t>
          </a:r>
        </a:p>
      </xdr:txBody>
    </xdr:sp>
    <xdr:clientData/>
  </xdr:twoCellAnchor>
  <xdr:twoCellAnchor>
    <xdr:from>
      <xdr:col>2</xdr:col>
      <xdr:colOff>85725</xdr:colOff>
      <xdr:row>81</xdr:row>
      <xdr:rowOff>133350</xdr:rowOff>
    </xdr:from>
    <xdr:to>
      <xdr:col>4</xdr:col>
      <xdr:colOff>515325</xdr:colOff>
      <xdr:row>83</xdr:row>
      <xdr:rowOff>57150</xdr:rowOff>
    </xdr:to>
    <xdr:sp macro="" textlink="">
      <xdr:nvSpPr>
        <xdr:cNvPr id="44" name="Rectangle: Rounded Corners 43">
          <a:extLst>
            <a:ext uri="{FF2B5EF4-FFF2-40B4-BE49-F238E27FC236}">
              <a16:creationId xmlns:a16="http://schemas.microsoft.com/office/drawing/2014/main" id="{08B5A924-A0A3-401B-B2CA-645BC46AF3AC}"/>
            </a:ext>
          </a:extLst>
        </xdr:cNvPr>
        <xdr:cNvSpPr/>
      </xdr:nvSpPr>
      <xdr:spPr>
        <a:xfrm>
          <a:off x="1295960" y="16404291"/>
          <a:ext cx="1639836" cy="30480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Niveau 2 obtenu</a:t>
          </a:r>
        </a:p>
      </xdr:txBody>
    </xdr:sp>
    <xdr:clientData/>
  </xdr:twoCellAnchor>
  <xdr:twoCellAnchor>
    <xdr:from>
      <xdr:col>8</xdr:col>
      <xdr:colOff>0</xdr:colOff>
      <xdr:row>81</xdr:row>
      <xdr:rowOff>133350</xdr:rowOff>
    </xdr:from>
    <xdr:to>
      <xdr:col>10</xdr:col>
      <xdr:colOff>429600</xdr:colOff>
      <xdr:row>83</xdr:row>
      <xdr:rowOff>57150</xdr:rowOff>
    </xdr:to>
    <xdr:sp macro="" textlink="">
      <xdr:nvSpPr>
        <xdr:cNvPr id="45" name="Rectangle: Rounded Corners 44">
          <a:extLst>
            <a:ext uri="{FF2B5EF4-FFF2-40B4-BE49-F238E27FC236}">
              <a16:creationId xmlns:a16="http://schemas.microsoft.com/office/drawing/2014/main" id="{BD227AB4-3F5A-4B8C-B89D-ABBE83380558}"/>
            </a:ext>
          </a:extLst>
        </xdr:cNvPr>
        <xdr:cNvSpPr/>
      </xdr:nvSpPr>
      <xdr:spPr>
        <a:xfrm>
          <a:off x="4840941" y="17166291"/>
          <a:ext cx="1639835" cy="30480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Date Certification N2</a:t>
          </a:r>
        </a:p>
      </xdr:txBody>
    </xdr:sp>
    <xdr:clientData/>
  </xdr:twoCellAnchor>
  <xdr:twoCellAnchor>
    <xdr:from>
      <xdr:col>13</xdr:col>
      <xdr:colOff>571500</xdr:colOff>
      <xdr:row>81</xdr:row>
      <xdr:rowOff>133350</xdr:rowOff>
    </xdr:from>
    <xdr:to>
      <xdr:col>16</xdr:col>
      <xdr:colOff>391500</xdr:colOff>
      <xdr:row>83</xdr:row>
      <xdr:rowOff>57150</xdr:rowOff>
    </xdr:to>
    <xdr:sp macro="" textlink="">
      <xdr:nvSpPr>
        <xdr:cNvPr id="46" name="Rectangle: Rounded Corners 45">
          <a:extLst>
            <a:ext uri="{FF2B5EF4-FFF2-40B4-BE49-F238E27FC236}">
              <a16:creationId xmlns:a16="http://schemas.microsoft.com/office/drawing/2014/main" id="{7FCE9401-67A5-4226-AE39-B2C8C730BA35}"/>
            </a:ext>
          </a:extLst>
        </xdr:cNvPr>
        <xdr:cNvSpPr/>
      </xdr:nvSpPr>
      <xdr:spPr>
        <a:xfrm>
          <a:off x="8438029" y="17166291"/>
          <a:ext cx="1635353" cy="30480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Organisme certificateur</a:t>
          </a:r>
        </a:p>
      </xdr:txBody>
    </xdr:sp>
    <xdr:clientData/>
  </xdr:twoCellAnchor>
  <xdr:twoCellAnchor>
    <xdr:from>
      <xdr:col>2</xdr:col>
      <xdr:colOff>85725</xdr:colOff>
      <xdr:row>84</xdr:row>
      <xdr:rowOff>95250</xdr:rowOff>
    </xdr:from>
    <xdr:to>
      <xdr:col>4</xdr:col>
      <xdr:colOff>515325</xdr:colOff>
      <xdr:row>86</xdr:row>
      <xdr:rowOff>19050</xdr:rowOff>
    </xdr:to>
    <xdr:sp macro="" textlink="">
      <xdr:nvSpPr>
        <xdr:cNvPr id="47" name="Rectangle: Rounded Corners 46">
          <a:extLst>
            <a:ext uri="{FF2B5EF4-FFF2-40B4-BE49-F238E27FC236}">
              <a16:creationId xmlns:a16="http://schemas.microsoft.com/office/drawing/2014/main" id="{27D18F10-EC06-4CE8-9C80-B43D98181F3C}"/>
            </a:ext>
          </a:extLst>
        </xdr:cNvPr>
        <xdr:cNvSpPr/>
      </xdr:nvSpPr>
      <xdr:spPr>
        <a:xfrm>
          <a:off x="1295960" y="16937691"/>
          <a:ext cx="1639836" cy="304800"/>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Equivalence</a:t>
          </a:r>
          <a:r>
            <a:rPr lang="fr-FR" sz="1100"/>
            <a:t> Niveau 2</a:t>
          </a:r>
        </a:p>
      </xdr:txBody>
    </xdr:sp>
    <xdr:clientData/>
  </xdr:twoCellAnchor>
  <xdr:twoCellAnchor>
    <xdr:from>
      <xdr:col>8</xdr:col>
      <xdr:colOff>0</xdr:colOff>
      <xdr:row>84</xdr:row>
      <xdr:rowOff>95250</xdr:rowOff>
    </xdr:from>
    <xdr:to>
      <xdr:col>10</xdr:col>
      <xdr:colOff>429600</xdr:colOff>
      <xdr:row>86</xdr:row>
      <xdr:rowOff>19050</xdr:rowOff>
    </xdr:to>
    <xdr:sp macro="" textlink="">
      <xdr:nvSpPr>
        <xdr:cNvPr id="48" name="Rectangle: Rounded Corners 47">
          <a:extLst>
            <a:ext uri="{FF2B5EF4-FFF2-40B4-BE49-F238E27FC236}">
              <a16:creationId xmlns:a16="http://schemas.microsoft.com/office/drawing/2014/main" id="{4C22DDA1-4297-4EE6-BB7B-4706CB92766A}"/>
            </a:ext>
          </a:extLst>
        </xdr:cNvPr>
        <xdr:cNvSpPr/>
      </xdr:nvSpPr>
      <xdr:spPr>
        <a:xfrm>
          <a:off x="4840941" y="17699691"/>
          <a:ext cx="1639835" cy="304800"/>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Nom démarche</a:t>
          </a:r>
        </a:p>
      </xdr:txBody>
    </xdr:sp>
    <xdr:clientData/>
  </xdr:twoCellAnchor>
  <xdr:twoCellAnchor>
    <xdr:from>
      <xdr:col>2</xdr:col>
      <xdr:colOff>96931</xdr:colOff>
      <xdr:row>87</xdr:row>
      <xdr:rowOff>123823</xdr:rowOff>
    </xdr:from>
    <xdr:to>
      <xdr:col>5</xdr:col>
      <xdr:colOff>381000</xdr:colOff>
      <xdr:row>89</xdr:row>
      <xdr:rowOff>48823</xdr:rowOff>
    </xdr:to>
    <xdr:sp macro="" textlink="">
      <xdr:nvSpPr>
        <xdr:cNvPr id="50" name="Rectangle: Rounded Corners 49">
          <a:extLst>
            <a:ext uri="{FF2B5EF4-FFF2-40B4-BE49-F238E27FC236}">
              <a16:creationId xmlns:a16="http://schemas.microsoft.com/office/drawing/2014/main" id="{3F8C839C-1C19-44B8-AA8E-20CE95276238}"/>
            </a:ext>
          </a:extLst>
        </xdr:cNvPr>
        <xdr:cNvSpPr/>
      </xdr:nvSpPr>
      <xdr:spPr>
        <a:xfrm>
          <a:off x="1307166" y="16775764"/>
          <a:ext cx="2099422" cy="306000"/>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Date 1ère certification niveau 3</a:t>
          </a:r>
        </a:p>
      </xdr:txBody>
    </xdr:sp>
    <xdr:clientData/>
  </xdr:twoCellAnchor>
  <xdr:twoCellAnchor editAs="absolute">
    <xdr:from>
      <xdr:col>2</xdr:col>
      <xdr:colOff>0</xdr:colOff>
      <xdr:row>70</xdr:row>
      <xdr:rowOff>123829</xdr:rowOff>
    </xdr:from>
    <xdr:to>
      <xdr:col>4</xdr:col>
      <xdr:colOff>429599</xdr:colOff>
      <xdr:row>72</xdr:row>
      <xdr:rowOff>47629</xdr:rowOff>
    </xdr:to>
    <xdr:sp macro="" textlink="">
      <xdr:nvSpPr>
        <xdr:cNvPr id="53" name="Rectangle: Rounded Corners 52">
          <a:extLst>
            <a:ext uri="{FF2B5EF4-FFF2-40B4-BE49-F238E27FC236}">
              <a16:creationId xmlns:a16="http://schemas.microsoft.com/office/drawing/2014/main" id="{3E9BC567-1CD2-4D33-BBA2-0401139930E9}"/>
            </a:ext>
          </a:extLst>
        </xdr:cNvPr>
        <xdr:cNvSpPr/>
      </xdr:nvSpPr>
      <xdr:spPr>
        <a:xfrm>
          <a:off x="1210235" y="13514858"/>
          <a:ext cx="1639835"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Vente directe</a:t>
          </a:r>
        </a:p>
      </xdr:txBody>
    </xdr:sp>
    <xdr:clientData/>
  </xdr:twoCellAnchor>
  <xdr:twoCellAnchor>
    <xdr:from>
      <xdr:col>2</xdr:col>
      <xdr:colOff>537878</xdr:colOff>
      <xdr:row>1</xdr:row>
      <xdr:rowOff>161925</xdr:rowOff>
    </xdr:from>
    <xdr:to>
      <xdr:col>6</xdr:col>
      <xdr:colOff>113735</xdr:colOff>
      <xdr:row>3</xdr:row>
      <xdr:rowOff>86925</xdr:rowOff>
    </xdr:to>
    <xdr:sp macro="" textlink="">
      <xdr:nvSpPr>
        <xdr:cNvPr id="56" name="Parallelogram 55">
          <a:hlinkClick xmlns:r="http://schemas.openxmlformats.org/officeDocument/2006/relationships" r:id="rId1"/>
          <a:extLst>
            <a:ext uri="{FF2B5EF4-FFF2-40B4-BE49-F238E27FC236}">
              <a16:creationId xmlns:a16="http://schemas.microsoft.com/office/drawing/2014/main" id="{D843A153-E2FA-49C8-8E0D-75925FDB2DA2}"/>
            </a:ext>
          </a:extLst>
        </xdr:cNvPr>
        <xdr:cNvSpPr/>
      </xdr:nvSpPr>
      <xdr:spPr>
        <a:xfrm>
          <a:off x="1748113" y="352425"/>
          <a:ext cx="1996328"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Contexte de l'audit</a:t>
          </a:r>
        </a:p>
      </xdr:txBody>
    </xdr:sp>
    <xdr:clientData/>
  </xdr:twoCellAnchor>
  <xdr:twoCellAnchor>
    <xdr:from>
      <xdr:col>6</xdr:col>
      <xdr:colOff>250260</xdr:colOff>
      <xdr:row>1</xdr:row>
      <xdr:rowOff>161925</xdr:rowOff>
    </xdr:from>
    <xdr:to>
      <xdr:col>11</xdr:col>
      <xdr:colOff>145485</xdr:colOff>
      <xdr:row>3</xdr:row>
      <xdr:rowOff>86925</xdr:rowOff>
    </xdr:to>
    <xdr:sp macro="" textlink="">
      <xdr:nvSpPr>
        <xdr:cNvPr id="57" name="Parallelogram 56">
          <a:hlinkClick xmlns:r="http://schemas.openxmlformats.org/officeDocument/2006/relationships" r:id="rId2"/>
          <a:extLst>
            <a:ext uri="{FF2B5EF4-FFF2-40B4-BE49-F238E27FC236}">
              <a16:creationId xmlns:a16="http://schemas.microsoft.com/office/drawing/2014/main" id="{8AB9FECE-E8B9-4945-B620-DB7F534A57E0}"/>
            </a:ext>
          </a:extLst>
        </xdr:cNvPr>
        <xdr:cNvSpPr/>
      </xdr:nvSpPr>
      <xdr:spPr>
        <a:xfrm>
          <a:off x="3880966" y="352425"/>
          <a:ext cx="2920813"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Identification de l'exploitation auditée</a:t>
          </a:r>
        </a:p>
      </xdr:txBody>
    </xdr:sp>
    <xdr:clientData/>
  </xdr:twoCellAnchor>
  <xdr:twoCellAnchor>
    <xdr:from>
      <xdr:col>11</xdr:col>
      <xdr:colOff>282010</xdr:colOff>
      <xdr:row>1</xdr:row>
      <xdr:rowOff>161925</xdr:rowOff>
    </xdr:from>
    <xdr:to>
      <xdr:col>15</xdr:col>
      <xdr:colOff>262960</xdr:colOff>
      <xdr:row>3</xdr:row>
      <xdr:rowOff>86925</xdr:rowOff>
    </xdr:to>
    <xdr:sp macro="" textlink="">
      <xdr:nvSpPr>
        <xdr:cNvPr id="58" name="Parallelogram 57">
          <a:hlinkClick xmlns:r="http://schemas.openxmlformats.org/officeDocument/2006/relationships" r:id="rId3"/>
          <a:extLst>
            <a:ext uri="{FF2B5EF4-FFF2-40B4-BE49-F238E27FC236}">
              <a16:creationId xmlns:a16="http://schemas.microsoft.com/office/drawing/2014/main" id="{D37A6B83-3E7D-4621-88C9-B1905EFD04C8}"/>
            </a:ext>
          </a:extLst>
        </xdr:cNvPr>
        <xdr:cNvSpPr/>
      </xdr:nvSpPr>
      <xdr:spPr>
        <a:xfrm>
          <a:off x="6938304" y="352425"/>
          <a:ext cx="2401421"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Caractéristiques générales </a:t>
          </a:r>
        </a:p>
      </xdr:txBody>
    </xdr:sp>
    <xdr:clientData/>
  </xdr:twoCellAnchor>
  <xdr:twoCellAnchor>
    <xdr:from>
      <xdr:col>15</xdr:col>
      <xdr:colOff>399485</xdr:colOff>
      <xdr:row>1</xdr:row>
      <xdr:rowOff>161925</xdr:rowOff>
    </xdr:from>
    <xdr:to>
      <xdr:col>20</xdr:col>
      <xdr:colOff>437585</xdr:colOff>
      <xdr:row>3</xdr:row>
      <xdr:rowOff>86925</xdr:rowOff>
    </xdr:to>
    <xdr:sp macro="" textlink="">
      <xdr:nvSpPr>
        <xdr:cNvPr id="59" name="Parallelogram 58">
          <a:hlinkClick xmlns:r="http://schemas.openxmlformats.org/officeDocument/2006/relationships" r:id="rId4"/>
          <a:extLst>
            <a:ext uri="{FF2B5EF4-FFF2-40B4-BE49-F238E27FC236}">
              <a16:creationId xmlns:a16="http://schemas.microsoft.com/office/drawing/2014/main" id="{D7952DAD-66EE-4C73-A241-1EEB87FD813D}"/>
            </a:ext>
          </a:extLst>
        </xdr:cNvPr>
        <xdr:cNvSpPr/>
      </xdr:nvSpPr>
      <xdr:spPr>
        <a:xfrm>
          <a:off x="9476250" y="352425"/>
          <a:ext cx="3063688"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Niveaux de certification de l'exploitation</a:t>
          </a:r>
        </a:p>
      </xdr:txBody>
    </xdr:sp>
    <xdr:clientData/>
  </xdr:twoCellAnchor>
  <xdr:twoCellAnchor editAs="absolute">
    <xdr:from>
      <xdr:col>1</xdr:col>
      <xdr:colOff>414615</xdr:colOff>
      <xdr:row>22</xdr:row>
      <xdr:rowOff>134472</xdr:rowOff>
    </xdr:from>
    <xdr:to>
      <xdr:col>4</xdr:col>
      <xdr:colOff>234615</xdr:colOff>
      <xdr:row>24</xdr:row>
      <xdr:rowOff>58272</xdr:rowOff>
    </xdr:to>
    <xdr:sp macro="" textlink="">
      <xdr:nvSpPr>
        <xdr:cNvPr id="60" name="Rectangle: Rounded Corners 59">
          <a:extLst>
            <a:ext uri="{FF2B5EF4-FFF2-40B4-BE49-F238E27FC236}">
              <a16:creationId xmlns:a16="http://schemas.microsoft.com/office/drawing/2014/main" id="{5B85027A-2DE8-45A7-8DAC-9CDB57BDA860}"/>
            </a:ext>
          </a:extLst>
        </xdr:cNvPr>
        <xdr:cNvSpPr/>
      </xdr:nvSpPr>
      <xdr:spPr>
        <a:xfrm>
          <a:off x="1019733" y="4336678"/>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Durée de l'audit</a:t>
          </a:r>
        </a:p>
      </xdr:txBody>
    </xdr:sp>
    <xdr:clientData/>
  </xdr:twoCellAnchor>
  <xdr:twoCellAnchor>
    <xdr:from>
      <xdr:col>14</xdr:col>
      <xdr:colOff>112060</xdr:colOff>
      <xdr:row>30</xdr:row>
      <xdr:rowOff>145676</xdr:rowOff>
    </xdr:from>
    <xdr:to>
      <xdr:col>16</xdr:col>
      <xdr:colOff>537178</xdr:colOff>
      <xdr:row>32</xdr:row>
      <xdr:rowOff>69476</xdr:rowOff>
    </xdr:to>
    <xdr:sp macro="" textlink="">
      <xdr:nvSpPr>
        <xdr:cNvPr id="63" name="Rectangle: Rounded Corners 62">
          <a:extLst>
            <a:ext uri="{FF2B5EF4-FFF2-40B4-BE49-F238E27FC236}">
              <a16:creationId xmlns:a16="http://schemas.microsoft.com/office/drawing/2014/main" id="{F01D66AB-6388-4240-A568-C3E10F994DB4}"/>
            </a:ext>
          </a:extLst>
        </xdr:cNvPr>
        <xdr:cNvSpPr/>
      </xdr:nvSpPr>
      <xdr:spPr>
        <a:xfrm>
          <a:off x="8583707" y="5894294"/>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Département</a:t>
          </a:r>
        </a:p>
      </xdr:txBody>
    </xdr:sp>
    <xdr:clientData/>
  </xdr:twoCellAnchor>
  <xdr:twoCellAnchor>
    <xdr:from>
      <xdr:col>14</xdr:col>
      <xdr:colOff>112060</xdr:colOff>
      <xdr:row>32</xdr:row>
      <xdr:rowOff>145676</xdr:rowOff>
    </xdr:from>
    <xdr:to>
      <xdr:col>16</xdr:col>
      <xdr:colOff>537178</xdr:colOff>
      <xdr:row>34</xdr:row>
      <xdr:rowOff>69476</xdr:rowOff>
    </xdr:to>
    <xdr:sp macro="" textlink="">
      <xdr:nvSpPr>
        <xdr:cNvPr id="64" name="Rectangle: Rounded Corners 63">
          <a:extLst>
            <a:ext uri="{FF2B5EF4-FFF2-40B4-BE49-F238E27FC236}">
              <a16:creationId xmlns:a16="http://schemas.microsoft.com/office/drawing/2014/main" id="{CA42200B-8F12-48AD-A39F-0646173088DB}"/>
            </a:ext>
          </a:extLst>
        </xdr:cNvPr>
        <xdr:cNvSpPr/>
      </xdr:nvSpPr>
      <xdr:spPr>
        <a:xfrm>
          <a:off x="8583707" y="5132294"/>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Région</a:t>
          </a:r>
        </a:p>
      </xdr:txBody>
    </xdr:sp>
    <xdr:clientData/>
  </xdr:twoCellAnchor>
  <xdr:twoCellAnchor>
    <xdr:from>
      <xdr:col>14</xdr:col>
      <xdr:colOff>112060</xdr:colOff>
      <xdr:row>34</xdr:row>
      <xdr:rowOff>145676</xdr:rowOff>
    </xdr:from>
    <xdr:to>
      <xdr:col>16</xdr:col>
      <xdr:colOff>537178</xdr:colOff>
      <xdr:row>36</xdr:row>
      <xdr:rowOff>69476</xdr:rowOff>
    </xdr:to>
    <xdr:sp macro="" textlink="">
      <xdr:nvSpPr>
        <xdr:cNvPr id="65" name="Rectangle: Rounded Corners 64">
          <a:extLst>
            <a:ext uri="{FF2B5EF4-FFF2-40B4-BE49-F238E27FC236}">
              <a16:creationId xmlns:a16="http://schemas.microsoft.com/office/drawing/2014/main" id="{7008EF77-1324-4402-ABD8-C51AB40B634A}"/>
            </a:ext>
          </a:extLst>
        </xdr:cNvPr>
        <xdr:cNvSpPr/>
      </xdr:nvSpPr>
      <xdr:spPr>
        <a:xfrm>
          <a:off x="8583707" y="5513294"/>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Bassin viticole</a:t>
          </a:r>
        </a:p>
      </xdr:txBody>
    </xdr:sp>
    <xdr:clientData/>
  </xdr:twoCellAnchor>
  <xdr:twoCellAnchor editAs="absolute">
    <xdr:from>
      <xdr:col>1</xdr:col>
      <xdr:colOff>409574</xdr:colOff>
      <xdr:row>20</xdr:row>
      <xdr:rowOff>133727</xdr:rowOff>
    </xdr:from>
    <xdr:to>
      <xdr:col>4</xdr:col>
      <xdr:colOff>229574</xdr:colOff>
      <xdr:row>22</xdr:row>
      <xdr:rowOff>57527</xdr:rowOff>
    </xdr:to>
    <xdr:sp macro="" textlink="">
      <xdr:nvSpPr>
        <xdr:cNvPr id="16" name="Rectangle: Rounded Corners 15">
          <a:extLst>
            <a:ext uri="{FF2B5EF4-FFF2-40B4-BE49-F238E27FC236}">
              <a16:creationId xmlns:a16="http://schemas.microsoft.com/office/drawing/2014/main" id="{CE8EA791-ACD8-49B6-8C4B-414C90C9B1EF}"/>
            </a:ext>
          </a:extLst>
        </xdr:cNvPr>
        <xdr:cNvSpPr/>
      </xdr:nvSpPr>
      <xdr:spPr>
        <a:xfrm>
          <a:off x="1014692" y="3954933"/>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Campagne évaluée</a:t>
          </a:r>
        </a:p>
      </xdr:txBody>
    </xdr:sp>
    <xdr:clientData/>
  </xdr:twoCellAnchor>
  <xdr:twoCellAnchor>
    <xdr:from>
      <xdr:col>1</xdr:col>
      <xdr:colOff>409574</xdr:colOff>
      <xdr:row>36</xdr:row>
      <xdr:rowOff>124947</xdr:rowOff>
    </xdr:from>
    <xdr:to>
      <xdr:col>4</xdr:col>
      <xdr:colOff>229574</xdr:colOff>
      <xdr:row>38</xdr:row>
      <xdr:rowOff>48747</xdr:rowOff>
    </xdr:to>
    <xdr:sp macro="" textlink="">
      <xdr:nvSpPr>
        <xdr:cNvPr id="17" name="Rectangle: Rounded Corners 16">
          <a:extLst>
            <a:ext uri="{FF2B5EF4-FFF2-40B4-BE49-F238E27FC236}">
              <a16:creationId xmlns:a16="http://schemas.microsoft.com/office/drawing/2014/main" id="{22707C14-B95A-42FE-9BF4-A6EC96369F7B}"/>
            </a:ext>
          </a:extLst>
        </xdr:cNvPr>
        <xdr:cNvSpPr/>
      </xdr:nvSpPr>
      <xdr:spPr>
        <a:xfrm>
          <a:off x="1014692" y="6254565"/>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CVI</a:t>
          </a:r>
        </a:p>
      </xdr:txBody>
    </xdr:sp>
    <xdr:clientData/>
  </xdr:twoCellAnchor>
  <xdr:twoCellAnchor>
    <xdr:from>
      <xdr:col>13</xdr:col>
      <xdr:colOff>571500</xdr:colOff>
      <xdr:row>78</xdr:row>
      <xdr:rowOff>123825</xdr:rowOff>
    </xdr:from>
    <xdr:to>
      <xdr:col>16</xdr:col>
      <xdr:colOff>395982</xdr:colOff>
      <xdr:row>80</xdr:row>
      <xdr:rowOff>47625</xdr:rowOff>
    </xdr:to>
    <xdr:sp macro="" textlink="">
      <xdr:nvSpPr>
        <xdr:cNvPr id="18" name="Rectangle: Rounded Corners 17">
          <a:extLst>
            <a:ext uri="{FF2B5EF4-FFF2-40B4-BE49-F238E27FC236}">
              <a16:creationId xmlns:a16="http://schemas.microsoft.com/office/drawing/2014/main" id="{7F6E9289-F595-4B1E-8398-95D274EFBAF3}"/>
            </a:ext>
          </a:extLst>
        </xdr:cNvPr>
        <xdr:cNvSpPr/>
      </xdr:nvSpPr>
      <xdr:spPr>
        <a:xfrm>
          <a:off x="8438029" y="16966266"/>
          <a:ext cx="1639835"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Structure validatrice</a:t>
          </a:r>
        </a:p>
      </xdr:txBody>
    </xdr:sp>
    <xdr:clientData/>
  </xdr:twoCellAnchor>
  <xdr:twoCellAnchor>
    <xdr:from>
      <xdr:col>18</xdr:col>
      <xdr:colOff>224128</xdr:colOff>
      <xdr:row>87</xdr:row>
      <xdr:rowOff>123823</xdr:rowOff>
    </xdr:from>
    <xdr:to>
      <xdr:col>21</xdr:col>
      <xdr:colOff>403422</xdr:colOff>
      <xdr:row>89</xdr:row>
      <xdr:rowOff>48823</xdr:rowOff>
    </xdr:to>
    <xdr:sp macro="" textlink="">
      <xdr:nvSpPr>
        <xdr:cNvPr id="40" name="Rectangle: Rounded Corners 39">
          <a:extLst>
            <a:ext uri="{FF2B5EF4-FFF2-40B4-BE49-F238E27FC236}">
              <a16:creationId xmlns:a16="http://schemas.microsoft.com/office/drawing/2014/main" id="{F8C8DABC-DE8B-483C-BF25-60F86CEFCD13}"/>
            </a:ext>
          </a:extLst>
        </xdr:cNvPr>
        <xdr:cNvSpPr/>
      </xdr:nvSpPr>
      <xdr:spPr>
        <a:xfrm>
          <a:off x="11116246" y="16775764"/>
          <a:ext cx="1994647" cy="306000"/>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Dernière campagne évaluée</a:t>
          </a:r>
        </a:p>
      </xdr:txBody>
    </xdr:sp>
    <xdr:clientData/>
  </xdr:twoCellAnchor>
  <xdr:twoCellAnchor>
    <xdr:from>
      <xdr:col>1</xdr:col>
      <xdr:colOff>212912</xdr:colOff>
      <xdr:row>101</xdr:row>
      <xdr:rowOff>44824</xdr:rowOff>
    </xdr:from>
    <xdr:to>
      <xdr:col>6</xdr:col>
      <xdr:colOff>448235</xdr:colOff>
      <xdr:row>102</xdr:row>
      <xdr:rowOff>162005</xdr:rowOff>
    </xdr:to>
    <xdr:sp macro="" textlink="">
      <xdr:nvSpPr>
        <xdr:cNvPr id="49" name="Parallelogram 48">
          <a:extLst>
            <a:ext uri="{FF2B5EF4-FFF2-40B4-BE49-F238E27FC236}">
              <a16:creationId xmlns:a16="http://schemas.microsoft.com/office/drawing/2014/main" id="{1DA80857-FBC0-4D7B-9675-757942188906}"/>
            </a:ext>
          </a:extLst>
        </xdr:cNvPr>
        <xdr:cNvSpPr/>
      </xdr:nvSpPr>
      <xdr:spPr>
        <a:xfrm>
          <a:off x="818030" y="19374971"/>
          <a:ext cx="3260911" cy="318887"/>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Observations</a:t>
          </a:r>
          <a:r>
            <a:rPr lang="fr-FR" sz="1100" baseline="0"/>
            <a:t> générales sur l'exploitation</a:t>
          </a:r>
          <a:endParaRPr lang="fr-FR" sz="1100"/>
        </a:p>
      </xdr:txBody>
    </xdr:sp>
    <xdr:clientData/>
  </xdr:twoCellAnchor>
  <xdr:twoCellAnchor>
    <xdr:from>
      <xdr:col>21</xdr:col>
      <xdr:colOff>0</xdr:colOff>
      <xdr:row>1</xdr:row>
      <xdr:rowOff>161925</xdr:rowOff>
    </xdr:from>
    <xdr:to>
      <xdr:col>24</xdr:col>
      <xdr:colOff>586068</xdr:colOff>
      <xdr:row>3</xdr:row>
      <xdr:rowOff>86925</xdr:rowOff>
    </xdr:to>
    <xdr:sp macro="" textlink="">
      <xdr:nvSpPr>
        <xdr:cNvPr id="66" name="Parallelogram 65">
          <a:hlinkClick xmlns:r="http://schemas.openxmlformats.org/officeDocument/2006/relationships" r:id="rId5"/>
          <a:extLst>
            <a:ext uri="{FF2B5EF4-FFF2-40B4-BE49-F238E27FC236}">
              <a16:creationId xmlns:a16="http://schemas.microsoft.com/office/drawing/2014/main" id="{29D321C8-5BE7-4706-916C-84CB39F5FC43}"/>
            </a:ext>
          </a:extLst>
        </xdr:cNvPr>
        <xdr:cNvSpPr/>
      </xdr:nvSpPr>
      <xdr:spPr>
        <a:xfrm>
          <a:off x="12707471" y="352425"/>
          <a:ext cx="2401421"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Observations</a:t>
          </a:r>
        </a:p>
      </xdr:txBody>
    </xdr:sp>
    <xdr:clientData/>
  </xdr:twoCellAnchor>
  <xdr:twoCellAnchor editAs="absolute">
    <xdr:from>
      <xdr:col>1</xdr:col>
      <xdr:colOff>409574</xdr:colOff>
      <xdr:row>10</xdr:row>
      <xdr:rowOff>153147</xdr:rowOff>
    </xdr:from>
    <xdr:to>
      <xdr:col>4</xdr:col>
      <xdr:colOff>229574</xdr:colOff>
      <xdr:row>12</xdr:row>
      <xdr:rowOff>76947</xdr:rowOff>
    </xdr:to>
    <xdr:sp macro="" textlink="">
      <xdr:nvSpPr>
        <xdr:cNvPr id="67" name="Rectangle: Rounded Corners 66">
          <a:extLst>
            <a:ext uri="{FF2B5EF4-FFF2-40B4-BE49-F238E27FC236}">
              <a16:creationId xmlns:a16="http://schemas.microsoft.com/office/drawing/2014/main" id="{EF89D67C-CD94-44FF-BDBC-BD0A6D771A66}"/>
            </a:ext>
          </a:extLst>
        </xdr:cNvPr>
        <xdr:cNvSpPr/>
      </xdr:nvSpPr>
      <xdr:spPr>
        <a:xfrm>
          <a:off x="1014692" y="2069353"/>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Type de certification</a:t>
          </a:r>
        </a:p>
      </xdr:txBody>
    </xdr:sp>
    <xdr:clientData/>
  </xdr:twoCellAnchor>
  <xdr:twoCellAnchor editAs="absolute">
    <xdr:from>
      <xdr:col>14</xdr:col>
      <xdr:colOff>112060</xdr:colOff>
      <xdr:row>10</xdr:row>
      <xdr:rowOff>112058</xdr:rowOff>
    </xdr:from>
    <xdr:to>
      <xdr:col>18</xdr:col>
      <xdr:colOff>257736</xdr:colOff>
      <xdr:row>12</xdr:row>
      <xdr:rowOff>35858</xdr:rowOff>
    </xdr:to>
    <xdr:sp macro="" textlink="">
      <xdr:nvSpPr>
        <xdr:cNvPr id="68" name="Rectangle: Rounded Corners 67">
          <a:extLst>
            <a:ext uri="{FF2B5EF4-FFF2-40B4-BE49-F238E27FC236}">
              <a16:creationId xmlns:a16="http://schemas.microsoft.com/office/drawing/2014/main" id="{517F395C-BC55-4318-9B70-AC7A5A179B93}"/>
            </a:ext>
          </a:extLst>
        </xdr:cNvPr>
        <xdr:cNvSpPr/>
      </xdr:nvSpPr>
      <xdr:spPr>
        <a:xfrm>
          <a:off x="8583707" y="2028264"/>
          <a:ext cx="2566147"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Si gestion collective,</a:t>
          </a:r>
          <a:r>
            <a:rPr lang="fr-FR" sz="1100" baseline="0"/>
            <a:t> nature de l'audit</a:t>
          </a:r>
          <a:endParaRPr lang="fr-FR" sz="1100"/>
        </a:p>
      </xdr:txBody>
    </xdr:sp>
    <xdr:clientData/>
  </xdr:twoCellAnchor>
  <xdr:twoCellAnchor editAs="oneCell">
    <xdr:from>
      <xdr:col>0</xdr:col>
      <xdr:colOff>152324</xdr:colOff>
      <xdr:row>0</xdr:row>
      <xdr:rowOff>127183</xdr:rowOff>
    </xdr:from>
    <xdr:to>
      <xdr:col>2</xdr:col>
      <xdr:colOff>228524</xdr:colOff>
      <xdr:row>4</xdr:row>
      <xdr:rowOff>91475</xdr:rowOff>
    </xdr:to>
    <xdr:pic>
      <xdr:nvPicPr>
        <xdr:cNvPr id="69" name="Image 1">
          <a:hlinkClick xmlns:r="http://schemas.openxmlformats.org/officeDocument/2006/relationships" r:id="rId6"/>
          <a:extLst>
            <a:ext uri="{FF2B5EF4-FFF2-40B4-BE49-F238E27FC236}">
              <a16:creationId xmlns:a16="http://schemas.microsoft.com/office/drawing/2014/main" id="{B72314DE-35BD-4076-A82B-DFECFB7BBD43}"/>
            </a:ext>
          </a:extLst>
        </xdr:cNvPr>
        <xdr:cNvPicPr>
          <a:picLocks noChangeAspect="1"/>
        </xdr:cNvPicPr>
      </xdr:nvPicPr>
      <xdr:blipFill>
        <a:blip xmlns:r="http://schemas.openxmlformats.org/officeDocument/2006/relationships" r:embed="rId7"/>
        <a:stretch>
          <a:fillRect/>
        </a:stretch>
      </xdr:blipFill>
      <xdr:spPr>
        <a:xfrm>
          <a:off x="152324" y="127183"/>
          <a:ext cx="1286435" cy="726292"/>
        </a:xfrm>
        <a:prstGeom prst="rect">
          <a:avLst/>
        </a:prstGeom>
      </xdr:spPr>
    </xdr:pic>
    <xdr:clientData/>
  </xdr:twoCellAnchor>
  <xdr:twoCellAnchor>
    <xdr:from>
      <xdr:col>14</xdr:col>
      <xdr:colOff>112060</xdr:colOff>
      <xdr:row>18</xdr:row>
      <xdr:rowOff>124946</xdr:rowOff>
    </xdr:from>
    <xdr:to>
      <xdr:col>16</xdr:col>
      <xdr:colOff>541660</xdr:colOff>
      <xdr:row>20</xdr:row>
      <xdr:rowOff>48746</xdr:rowOff>
    </xdr:to>
    <xdr:sp macro="" textlink="">
      <xdr:nvSpPr>
        <xdr:cNvPr id="70" name="Rectangle 69">
          <a:extLst>
            <a:ext uri="{FF2B5EF4-FFF2-40B4-BE49-F238E27FC236}">
              <a16:creationId xmlns:a16="http://schemas.microsoft.com/office/drawing/2014/main" id="{6D6362BA-25CF-44AF-8540-F58C4CCE08D3}"/>
            </a:ext>
          </a:extLst>
        </xdr:cNvPr>
        <xdr:cNvSpPr/>
      </xdr:nvSpPr>
      <xdr:spPr>
        <a:xfrm>
          <a:off x="8583707" y="3565152"/>
          <a:ext cx="1639835" cy="30480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Adresse complément</a:t>
          </a:r>
        </a:p>
      </xdr:txBody>
    </xdr:sp>
    <xdr:clientData/>
  </xdr:twoCellAnchor>
  <xdr:twoCellAnchor>
    <xdr:from>
      <xdr:col>14</xdr:col>
      <xdr:colOff>112060</xdr:colOff>
      <xdr:row>20</xdr:row>
      <xdr:rowOff>114581</xdr:rowOff>
    </xdr:from>
    <xdr:to>
      <xdr:col>16</xdr:col>
      <xdr:colOff>541660</xdr:colOff>
      <xdr:row>22</xdr:row>
      <xdr:rowOff>38381</xdr:rowOff>
    </xdr:to>
    <xdr:sp macro="" textlink="">
      <xdr:nvSpPr>
        <xdr:cNvPr id="71" name="Rectangle 70">
          <a:extLst>
            <a:ext uri="{FF2B5EF4-FFF2-40B4-BE49-F238E27FC236}">
              <a16:creationId xmlns:a16="http://schemas.microsoft.com/office/drawing/2014/main" id="{0CE4E160-1FAF-4A2D-9F52-851487571166}"/>
            </a:ext>
          </a:extLst>
        </xdr:cNvPr>
        <xdr:cNvSpPr/>
      </xdr:nvSpPr>
      <xdr:spPr>
        <a:xfrm>
          <a:off x="8583707" y="3935787"/>
          <a:ext cx="1639835" cy="30480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Code postal</a:t>
          </a:r>
        </a:p>
      </xdr:txBody>
    </xdr:sp>
    <xdr:clientData/>
  </xdr:twoCellAnchor>
  <xdr:twoCellAnchor>
    <xdr:from>
      <xdr:col>14</xdr:col>
      <xdr:colOff>112060</xdr:colOff>
      <xdr:row>22</xdr:row>
      <xdr:rowOff>104215</xdr:rowOff>
    </xdr:from>
    <xdr:to>
      <xdr:col>16</xdr:col>
      <xdr:colOff>541660</xdr:colOff>
      <xdr:row>24</xdr:row>
      <xdr:rowOff>28015</xdr:rowOff>
    </xdr:to>
    <xdr:sp macro="" textlink="">
      <xdr:nvSpPr>
        <xdr:cNvPr id="72" name="Rectangle 71">
          <a:extLst>
            <a:ext uri="{FF2B5EF4-FFF2-40B4-BE49-F238E27FC236}">
              <a16:creationId xmlns:a16="http://schemas.microsoft.com/office/drawing/2014/main" id="{3EC9FA5A-79CA-48DB-A9F3-18FD9B5FE94B}"/>
            </a:ext>
          </a:extLst>
        </xdr:cNvPr>
        <xdr:cNvSpPr/>
      </xdr:nvSpPr>
      <xdr:spPr>
        <a:xfrm>
          <a:off x="8583707" y="4306421"/>
          <a:ext cx="1639835" cy="30480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Commune</a:t>
          </a:r>
        </a:p>
      </xdr:txBody>
    </xdr:sp>
    <xdr:clientData/>
  </xdr:twoCellAnchor>
  <xdr:twoCellAnchor>
    <xdr:from>
      <xdr:col>14</xdr:col>
      <xdr:colOff>112060</xdr:colOff>
      <xdr:row>16</xdr:row>
      <xdr:rowOff>135311</xdr:rowOff>
    </xdr:from>
    <xdr:to>
      <xdr:col>16</xdr:col>
      <xdr:colOff>541660</xdr:colOff>
      <xdr:row>18</xdr:row>
      <xdr:rowOff>59111</xdr:rowOff>
    </xdr:to>
    <xdr:sp macro="" textlink="">
      <xdr:nvSpPr>
        <xdr:cNvPr id="73" name="Rectangle 72">
          <a:extLst>
            <a:ext uri="{FF2B5EF4-FFF2-40B4-BE49-F238E27FC236}">
              <a16:creationId xmlns:a16="http://schemas.microsoft.com/office/drawing/2014/main" id="{982F4ED4-77E6-4021-BBBC-F09C615508DD}"/>
            </a:ext>
          </a:extLst>
        </xdr:cNvPr>
        <xdr:cNvSpPr/>
      </xdr:nvSpPr>
      <xdr:spPr>
        <a:xfrm>
          <a:off x="8583707" y="3194517"/>
          <a:ext cx="1639835" cy="30480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Adresse </a:t>
          </a:r>
        </a:p>
      </xdr:txBody>
    </xdr:sp>
    <xdr:clientData/>
  </xdr:twoCellAnchor>
  <xdr:twoCellAnchor>
    <xdr:from>
      <xdr:col>14</xdr:col>
      <xdr:colOff>112060</xdr:colOff>
      <xdr:row>14</xdr:row>
      <xdr:rowOff>145676</xdr:rowOff>
    </xdr:from>
    <xdr:to>
      <xdr:col>16</xdr:col>
      <xdr:colOff>541660</xdr:colOff>
      <xdr:row>16</xdr:row>
      <xdr:rowOff>69476</xdr:rowOff>
    </xdr:to>
    <xdr:sp macro="" textlink="">
      <xdr:nvSpPr>
        <xdr:cNvPr id="74" name="Rectangle 73">
          <a:extLst>
            <a:ext uri="{FF2B5EF4-FFF2-40B4-BE49-F238E27FC236}">
              <a16:creationId xmlns:a16="http://schemas.microsoft.com/office/drawing/2014/main" id="{C9D43ADB-3E70-4936-9B25-81228446BEE7}"/>
            </a:ext>
          </a:extLst>
        </xdr:cNvPr>
        <xdr:cNvSpPr/>
      </xdr:nvSpPr>
      <xdr:spPr>
        <a:xfrm>
          <a:off x="8583707" y="2823882"/>
          <a:ext cx="1639835" cy="30480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Nom </a:t>
          </a:r>
        </a:p>
      </xdr:txBody>
    </xdr:sp>
    <xdr:clientData/>
  </xdr:twoCellAnchor>
  <xdr:twoCellAnchor>
    <xdr:from>
      <xdr:col>9</xdr:col>
      <xdr:colOff>0</xdr:colOff>
      <xdr:row>87</xdr:row>
      <xdr:rowOff>123823</xdr:rowOff>
    </xdr:from>
    <xdr:to>
      <xdr:col>12</xdr:col>
      <xdr:colOff>284069</xdr:colOff>
      <xdr:row>89</xdr:row>
      <xdr:rowOff>48823</xdr:rowOff>
    </xdr:to>
    <xdr:sp macro="" textlink="">
      <xdr:nvSpPr>
        <xdr:cNvPr id="75" name="Rectangle: Rounded Corners 74">
          <a:extLst>
            <a:ext uri="{FF2B5EF4-FFF2-40B4-BE49-F238E27FC236}">
              <a16:creationId xmlns:a16="http://schemas.microsoft.com/office/drawing/2014/main" id="{6FA72BA8-DF4A-4387-8923-4F451AFCD81A}"/>
            </a:ext>
          </a:extLst>
        </xdr:cNvPr>
        <xdr:cNvSpPr/>
      </xdr:nvSpPr>
      <xdr:spPr>
        <a:xfrm>
          <a:off x="5446059" y="16775764"/>
          <a:ext cx="2099422" cy="306000"/>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Version du référentiel</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2</xdr:col>
      <xdr:colOff>228600</xdr:colOff>
      <xdr:row>4</xdr:row>
      <xdr:rowOff>69067</xdr:rowOff>
    </xdr:to>
    <xdr:pic>
      <xdr:nvPicPr>
        <xdr:cNvPr id="2" name="Image 1">
          <a:hlinkClick xmlns:r="http://schemas.openxmlformats.org/officeDocument/2006/relationships" r:id="rId1"/>
          <a:extLst>
            <a:ext uri="{FF2B5EF4-FFF2-40B4-BE49-F238E27FC236}">
              <a16:creationId xmlns:a16="http://schemas.microsoft.com/office/drawing/2014/main" id="{E4895984-650C-4BCC-A33E-5ABD97CCBF0F}"/>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twoCellAnchor>
    <xdr:from>
      <xdr:col>1</xdr:col>
      <xdr:colOff>219075</xdr:colOff>
      <xdr:row>17</xdr:row>
      <xdr:rowOff>45944</xdr:rowOff>
    </xdr:from>
    <xdr:to>
      <xdr:col>5</xdr:col>
      <xdr:colOff>600075</xdr:colOff>
      <xdr:row>18</xdr:row>
      <xdr:rowOff>161444</xdr:rowOff>
    </xdr:to>
    <xdr:sp macro="" textlink="">
      <xdr:nvSpPr>
        <xdr:cNvPr id="3" name="Parallelogram 2">
          <a:extLst>
            <a:ext uri="{FF2B5EF4-FFF2-40B4-BE49-F238E27FC236}">
              <a16:creationId xmlns:a16="http://schemas.microsoft.com/office/drawing/2014/main" id="{FEEA6216-7576-444E-B97D-A9FDC89EB3CD}"/>
            </a:ext>
          </a:extLst>
        </xdr:cNvPr>
        <xdr:cNvSpPr/>
      </xdr:nvSpPr>
      <xdr:spPr>
        <a:xfrm>
          <a:off x="824193" y="3306856"/>
          <a:ext cx="2801470" cy="3172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Surface de l'exploitation</a:t>
          </a:r>
        </a:p>
      </xdr:txBody>
    </xdr:sp>
    <xdr:clientData/>
  </xdr:twoCellAnchor>
  <xdr:twoCellAnchor>
    <xdr:from>
      <xdr:col>3</xdr:col>
      <xdr:colOff>90764</xdr:colOff>
      <xdr:row>1</xdr:row>
      <xdr:rowOff>114300</xdr:rowOff>
    </xdr:from>
    <xdr:to>
      <xdr:col>6</xdr:col>
      <xdr:colOff>347939</xdr:colOff>
      <xdr:row>3</xdr:row>
      <xdr:rowOff>48825</xdr:rowOff>
    </xdr:to>
    <xdr:sp macro="" textlink="">
      <xdr:nvSpPr>
        <xdr:cNvPr id="4" name="Parallelogram 3">
          <a:hlinkClick xmlns:r="http://schemas.openxmlformats.org/officeDocument/2006/relationships" r:id="rId3"/>
          <a:extLst>
            <a:ext uri="{FF2B5EF4-FFF2-40B4-BE49-F238E27FC236}">
              <a16:creationId xmlns:a16="http://schemas.microsoft.com/office/drawing/2014/main" id="{71D3CC92-FC24-4AB0-B933-1BF27884E415}"/>
            </a:ext>
          </a:extLst>
        </xdr:cNvPr>
        <xdr:cNvSpPr/>
      </xdr:nvSpPr>
      <xdr:spPr>
        <a:xfrm>
          <a:off x="1906117" y="304800"/>
          <a:ext cx="2072528"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Surface de l'exploitation</a:t>
          </a:r>
        </a:p>
      </xdr:txBody>
    </xdr:sp>
    <xdr:clientData/>
  </xdr:twoCellAnchor>
  <xdr:twoCellAnchor>
    <xdr:from>
      <xdr:col>1</xdr:col>
      <xdr:colOff>466725</xdr:colOff>
      <xdr:row>70</xdr:row>
      <xdr:rowOff>47625</xdr:rowOff>
    </xdr:from>
    <xdr:to>
      <xdr:col>6</xdr:col>
      <xdr:colOff>238125</xdr:colOff>
      <xdr:row>71</xdr:row>
      <xdr:rowOff>172650</xdr:rowOff>
    </xdr:to>
    <xdr:sp macro="" textlink="">
      <xdr:nvSpPr>
        <xdr:cNvPr id="5" name="Parallelogram 4">
          <a:extLst>
            <a:ext uri="{FF2B5EF4-FFF2-40B4-BE49-F238E27FC236}">
              <a16:creationId xmlns:a16="http://schemas.microsoft.com/office/drawing/2014/main" id="{888947F5-90F1-4D7B-A698-4C07E53DB85A}"/>
            </a:ext>
          </a:extLst>
        </xdr:cNvPr>
        <xdr:cNvSpPr/>
      </xdr:nvSpPr>
      <xdr:spPr>
        <a:xfrm>
          <a:off x="1076325" y="11010900"/>
          <a:ext cx="2819400" cy="31552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SAU de l'exploitation</a:t>
          </a:r>
        </a:p>
      </xdr:txBody>
    </xdr:sp>
    <xdr:clientData/>
  </xdr:twoCellAnchor>
  <xdr:twoCellAnchor>
    <xdr:from>
      <xdr:col>6</xdr:col>
      <xdr:colOff>525180</xdr:colOff>
      <xdr:row>1</xdr:row>
      <xdr:rowOff>114300</xdr:rowOff>
    </xdr:from>
    <xdr:to>
      <xdr:col>10</xdr:col>
      <xdr:colOff>172756</xdr:colOff>
      <xdr:row>3</xdr:row>
      <xdr:rowOff>48825</xdr:rowOff>
    </xdr:to>
    <xdr:sp macro="" textlink="">
      <xdr:nvSpPr>
        <xdr:cNvPr id="9" name="Parallelogram 8">
          <a:hlinkClick xmlns:r="http://schemas.openxmlformats.org/officeDocument/2006/relationships" r:id="rId4"/>
          <a:extLst>
            <a:ext uri="{FF2B5EF4-FFF2-40B4-BE49-F238E27FC236}">
              <a16:creationId xmlns:a16="http://schemas.microsoft.com/office/drawing/2014/main" id="{86356E4E-3C62-4090-BCB3-796DF884BD1B}"/>
            </a:ext>
          </a:extLst>
        </xdr:cNvPr>
        <xdr:cNvSpPr/>
      </xdr:nvSpPr>
      <xdr:spPr>
        <a:xfrm>
          <a:off x="4155886" y="304800"/>
          <a:ext cx="2068046"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SAU de l'exploitation</a:t>
          </a:r>
        </a:p>
      </xdr:txBody>
    </xdr:sp>
    <xdr:clientData/>
  </xdr:twoCellAnchor>
  <xdr:twoCellAnchor>
    <xdr:from>
      <xdr:col>10</xdr:col>
      <xdr:colOff>349997</xdr:colOff>
      <xdr:row>1</xdr:row>
      <xdr:rowOff>100852</xdr:rowOff>
    </xdr:from>
    <xdr:to>
      <xdr:col>14</xdr:col>
      <xdr:colOff>461495</xdr:colOff>
      <xdr:row>3</xdr:row>
      <xdr:rowOff>35377</xdr:rowOff>
    </xdr:to>
    <xdr:sp macro="" textlink="">
      <xdr:nvSpPr>
        <xdr:cNvPr id="7" name="Parallelogram 6">
          <a:hlinkClick xmlns:r="http://schemas.openxmlformats.org/officeDocument/2006/relationships" r:id="rId5"/>
          <a:extLst>
            <a:ext uri="{FF2B5EF4-FFF2-40B4-BE49-F238E27FC236}">
              <a16:creationId xmlns:a16="http://schemas.microsoft.com/office/drawing/2014/main" id="{6BB9F2EA-8D98-45EA-A21E-4FEE0B0251F3}"/>
            </a:ext>
          </a:extLst>
        </xdr:cNvPr>
        <xdr:cNvSpPr/>
      </xdr:nvSpPr>
      <xdr:spPr>
        <a:xfrm>
          <a:off x="6401173" y="291352"/>
          <a:ext cx="2072528"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Annexe Horticulture</a:t>
          </a:r>
        </a:p>
      </xdr:txBody>
    </xdr:sp>
    <xdr:clientData/>
  </xdr:twoCellAnchor>
  <xdr:twoCellAnchor>
    <xdr:from>
      <xdr:col>1</xdr:col>
      <xdr:colOff>470647</xdr:colOff>
      <xdr:row>165</xdr:row>
      <xdr:rowOff>56030</xdr:rowOff>
    </xdr:from>
    <xdr:to>
      <xdr:col>6</xdr:col>
      <xdr:colOff>242047</xdr:colOff>
      <xdr:row>166</xdr:row>
      <xdr:rowOff>181055</xdr:rowOff>
    </xdr:to>
    <xdr:sp macro="" textlink="">
      <xdr:nvSpPr>
        <xdr:cNvPr id="8" name="Parallelogram 7">
          <a:extLst>
            <a:ext uri="{FF2B5EF4-FFF2-40B4-BE49-F238E27FC236}">
              <a16:creationId xmlns:a16="http://schemas.microsoft.com/office/drawing/2014/main" id="{22326738-EDD7-48E9-9AC9-C66382B6F766}"/>
            </a:ext>
          </a:extLst>
        </xdr:cNvPr>
        <xdr:cNvSpPr/>
      </xdr:nvSpPr>
      <xdr:spPr>
        <a:xfrm>
          <a:off x="1075765" y="30222265"/>
          <a:ext cx="2796988" cy="3267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Annexe Horticulture</a:t>
          </a:r>
          <a:r>
            <a:rPr lang="fr-FR" sz="1100" baseline="0"/>
            <a:t> et pépinière</a:t>
          </a:r>
          <a:endParaRPr lang="fr-FR" sz="1100"/>
        </a:p>
      </xdr:txBody>
    </xdr:sp>
    <xdr:clientData/>
  </xdr:twoCellAnchor>
  <xdr:twoCellAnchor>
    <xdr:from>
      <xdr:col>1</xdr:col>
      <xdr:colOff>156882</xdr:colOff>
      <xdr:row>5</xdr:row>
      <xdr:rowOff>44824</xdr:rowOff>
    </xdr:from>
    <xdr:to>
      <xdr:col>5</xdr:col>
      <xdr:colOff>537882</xdr:colOff>
      <xdr:row>6</xdr:row>
      <xdr:rowOff>160324</xdr:rowOff>
    </xdr:to>
    <xdr:sp macro="" textlink="">
      <xdr:nvSpPr>
        <xdr:cNvPr id="6" name="Parallelogram 5">
          <a:extLst>
            <a:ext uri="{FF2B5EF4-FFF2-40B4-BE49-F238E27FC236}">
              <a16:creationId xmlns:a16="http://schemas.microsoft.com/office/drawing/2014/main" id="{F21B70D9-4C5F-42E3-94F4-58BE3250FE2C}"/>
            </a:ext>
          </a:extLst>
        </xdr:cNvPr>
        <xdr:cNvSpPr/>
      </xdr:nvSpPr>
      <xdr:spPr>
        <a:xfrm>
          <a:off x="762000" y="997324"/>
          <a:ext cx="2801470" cy="317206"/>
        </a:xfrm>
        <a:prstGeom prst="parallelogram">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Remarques préalables</a:t>
          </a:r>
        </a:p>
      </xdr:txBody>
    </xdr:sp>
    <xdr:clientData/>
  </xdr:twoCellAnchor>
  <xdr:twoCellAnchor>
    <xdr:from>
      <xdr:col>14</xdr:col>
      <xdr:colOff>616323</xdr:colOff>
      <xdr:row>1</xdr:row>
      <xdr:rowOff>100852</xdr:rowOff>
    </xdr:from>
    <xdr:to>
      <xdr:col>18</xdr:col>
      <xdr:colOff>190499</xdr:colOff>
      <xdr:row>3</xdr:row>
      <xdr:rowOff>35377</xdr:rowOff>
    </xdr:to>
    <xdr:sp macro="" textlink="">
      <xdr:nvSpPr>
        <xdr:cNvPr id="10" name="Parallelogram 9">
          <a:hlinkClick xmlns:r="http://schemas.openxmlformats.org/officeDocument/2006/relationships" r:id="rId6"/>
          <a:extLst>
            <a:ext uri="{FF2B5EF4-FFF2-40B4-BE49-F238E27FC236}">
              <a16:creationId xmlns:a16="http://schemas.microsoft.com/office/drawing/2014/main" id="{C9E0AF0F-284A-4660-ADE1-B3B77DD354D3}"/>
            </a:ext>
          </a:extLst>
        </xdr:cNvPr>
        <xdr:cNvSpPr/>
      </xdr:nvSpPr>
      <xdr:spPr>
        <a:xfrm>
          <a:off x="8628529" y="291352"/>
          <a:ext cx="2050676"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Remarques</a:t>
          </a:r>
        </a:p>
      </xdr:txBody>
    </xdr:sp>
    <xdr:clientData/>
  </xdr:twoCellAnchor>
  <xdr:twoCellAnchor>
    <xdr:from>
      <xdr:col>2</xdr:col>
      <xdr:colOff>0</xdr:colOff>
      <xdr:row>199</xdr:row>
      <xdr:rowOff>0</xdr:rowOff>
    </xdr:from>
    <xdr:to>
      <xdr:col>6</xdr:col>
      <xdr:colOff>0</xdr:colOff>
      <xdr:row>200</xdr:row>
      <xdr:rowOff>136231</xdr:rowOff>
    </xdr:to>
    <xdr:sp macro="" textlink="">
      <xdr:nvSpPr>
        <xdr:cNvPr id="11" name="Parallelogram 10">
          <a:extLst>
            <a:ext uri="{FF2B5EF4-FFF2-40B4-BE49-F238E27FC236}">
              <a16:creationId xmlns:a16="http://schemas.microsoft.com/office/drawing/2014/main" id="{1B591DFE-A5E4-4432-8141-324E05FB9CDB}"/>
            </a:ext>
          </a:extLst>
        </xdr:cNvPr>
        <xdr:cNvSpPr/>
      </xdr:nvSpPr>
      <xdr:spPr>
        <a:xfrm>
          <a:off x="1210235" y="39556765"/>
          <a:ext cx="2420471" cy="3267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Remarques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0</xdr:col>
      <xdr:colOff>1447800</xdr:colOff>
      <xdr:row>4</xdr:row>
      <xdr:rowOff>69067</xdr:rowOff>
    </xdr:to>
    <xdr:pic>
      <xdr:nvPicPr>
        <xdr:cNvPr id="2" name="Image 1">
          <a:hlinkClick xmlns:r="http://schemas.openxmlformats.org/officeDocument/2006/relationships" r:id="rId1"/>
          <a:extLst>
            <a:ext uri="{FF2B5EF4-FFF2-40B4-BE49-F238E27FC236}">
              <a16:creationId xmlns:a16="http://schemas.microsoft.com/office/drawing/2014/main" id="{E4895984-650C-4BCC-A33E-5ABD97CCBF0F}"/>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2</xdr:col>
      <xdr:colOff>228600</xdr:colOff>
      <xdr:row>4</xdr:row>
      <xdr:rowOff>69067</xdr:rowOff>
    </xdr:to>
    <xdr:pic>
      <xdr:nvPicPr>
        <xdr:cNvPr id="2" name="Image 1">
          <a:hlinkClick xmlns:r="http://schemas.openxmlformats.org/officeDocument/2006/relationships" r:id="rId1"/>
          <a:extLst>
            <a:ext uri="{FF2B5EF4-FFF2-40B4-BE49-F238E27FC236}">
              <a16:creationId xmlns:a16="http://schemas.microsoft.com/office/drawing/2014/main" id="{21709048-135F-4DB0-A8B5-303E7527AB8B}"/>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twoCellAnchor>
    <xdr:from>
      <xdr:col>1</xdr:col>
      <xdr:colOff>226217</xdr:colOff>
      <xdr:row>6</xdr:row>
      <xdr:rowOff>45244</xdr:rowOff>
    </xdr:from>
    <xdr:to>
      <xdr:col>6</xdr:col>
      <xdr:colOff>219074</xdr:colOff>
      <xdr:row>7</xdr:row>
      <xdr:rowOff>170269</xdr:rowOff>
    </xdr:to>
    <xdr:sp macro="" textlink="">
      <xdr:nvSpPr>
        <xdr:cNvPr id="5" name="Parallelogram 4">
          <a:extLst>
            <a:ext uri="{FF2B5EF4-FFF2-40B4-BE49-F238E27FC236}">
              <a16:creationId xmlns:a16="http://schemas.microsoft.com/office/drawing/2014/main" id="{59C3BA50-D538-4D98-997A-F6AB3682319D}"/>
            </a:ext>
          </a:extLst>
        </xdr:cNvPr>
        <xdr:cNvSpPr/>
      </xdr:nvSpPr>
      <xdr:spPr>
        <a:xfrm>
          <a:off x="833436" y="1188244"/>
          <a:ext cx="3028951" cy="3274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a:t>
          </a:r>
          <a:r>
            <a:rPr lang="fr-FR" sz="1100" baseline="0"/>
            <a:t> </a:t>
          </a:r>
          <a:r>
            <a:rPr lang="fr-FR" sz="1100"/>
            <a:t>Infrastructures agro-écologiques (IAE)</a:t>
          </a:r>
        </a:p>
      </xdr:txBody>
    </xdr:sp>
    <xdr:clientData/>
  </xdr:twoCellAnchor>
  <xdr:twoCellAnchor>
    <xdr:from>
      <xdr:col>1</xdr:col>
      <xdr:colOff>295275</xdr:colOff>
      <xdr:row>77</xdr:row>
      <xdr:rowOff>23812</xdr:rowOff>
    </xdr:from>
    <xdr:to>
      <xdr:col>5</xdr:col>
      <xdr:colOff>547687</xdr:colOff>
      <xdr:row>78</xdr:row>
      <xdr:rowOff>158362</xdr:rowOff>
    </xdr:to>
    <xdr:sp macro="" textlink="">
      <xdr:nvSpPr>
        <xdr:cNvPr id="6" name="Parallelogram 5">
          <a:extLst>
            <a:ext uri="{FF2B5EF4-FFF2-40B4-BE49-F238E27FC236}">
              <a16:creationId xmlns:a16="http://schemas.microsoft.com/office/drawing/2014/main" id="{C3D4AB26-D634-47B0-9D89-E6C028950060}"/>
            </a:ext>
          </a:extLst>
        </xdr:cNvPr>
        <xdr:cNvSpPr/>
      </xdr:nvSpPr>
      <xdr:spPr>
        <a:xfrm>
          <a:off x="902494" y="14716125"/>
          <a:ext cx="2681287" cy="3369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2. Taille des parcelles</a:t>
          </a:r>
        </a:p>
      </xdr:txBody>
    </xdr:sp>
    <xdr:clientData/>
  </xdr:twoCellAnchor>
  <xdr:twoCellAnchor>
    <xdr:from>
      <xdr:col>1</xdr:col>
      <xdr:colOff>247650</xdr:colOff>
      <xdr:row>96</xdr:row>
      <xdr:rowOff>35718</xdr:rowOff>
    </xdr:from>
    <xdr:to>
      <xdr:col>6</xdr:col>
      <xdr:colOff>285750</xdr:colOff>
      <xdr:row>97</xdr:row>
      <xdr:rowOff>179793</xdr:rowOff>
    </xdr:to>
    <xdr:sp macro="" textlink="">
      <xdr:nvSpPr>
        <xdr:cNvPr id="7" name="Parallelogram 6">
          <a:extLst>
            <a:ext uri="{FF2B5EF4-FFF2-40B4-BE49-F238E27FC236}">
              <a16:creationId xmlns:a16="http://schemas.microsoft.com/office/drawing/2014/main" id="{AB1F228B-95CC-4423-8082-4645B7EB3C4F}"/>
            </a:ext>
          </a:extLst>
        </xdr:cNvPr>
        <xdr:cNvSpPr/>
      </xdr:nvSpPr>
      <xdr:spPr>
        <a:xfrm>
          <a:off x="854869" y="18371343"/>
          <a:ext cx="3074194" cy="3464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3. Poids de la culture principale</a:t>
          </a:r>
        </a:p>
      </xdr:txBody>
    </xdr:sp>
    <xdr:clientData/>
  </xdr:twoCellAnchor>
  <xdr:twoCellAnchor>
    <xdr:from>
      <xdr:col>1</xdr:col>
      <xdr:colOff>228600</xdr:colOff>
      <xdr:row>124</xdr:row>
      <xdr:rowOff>30956</xdr:rowOff>
    </xdr:from>
    <xdr:to>
      <xdr:col>6</xdr:col>
      <xdr:colOff>266700</xdr:colOff>
      <xdr:row>125</xdr:row>
      <xdr:rowOff>184556</xdr:rowOff>
    </xdr:to>
    <xdr:sp macro="" textlink="">
      <xdr:nvSpPr>
        <xdr:cNvPr id="8" name="Parallelogram 7">
          <a:extLst>
            <a:ext uri="{FF2B5EF4-FFF2-40B4-BE49-F238E27FC236}">
              <a16:creationId xmlns:a16="http://schemas.microsoft.com/office/drawing/2014/main" id="{3C200792-4FD4-492F-A6A4-B5E93CDCFBBB}"/>
            </a:ext>
          </a:extLst>
        </xdr:cNvPr>
        <xdr:cNvSpPr/>
      </xdr:nvSpPr>
      <xdr:spPr>
        <a:xfrm>
          <a:off x="835819" y="23724394"/>
          <a:ext cx="3074194" cy="3560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4. Nombre d'espèces végétales cultivées</a:t>
          </a:r>
        </a:p>
      </xdr:txBody>
    </xdr:sp>
    <xdr:clientData/>
  </xdr:twoCellAnchor>
  <xdr:twoCellAnchor>
    <xdr:from>
      <xdr:col>1</xdr:col>
      <xdr:colOff>257175</xdr:colOff>
      <xdr:row>166</xdr:row>
      <xdr:rowOff>19049</xdr:rowOff>
    </xdr:from>
    <xdr:to>
      <xdr:col>6</xdr:col>
      <xdr:colOff>295275</xdr:colOff>
      <xdr:row>167</xdr:row>
      <xdr:rowOff>182174</xdr:rowOff>
    </xdr:to>
    <xdr:sp macro="" textlink="">
      <xdr:nvSpPr>
        <xdr:cNvPr id="9" name="Parallelogram 8">
          <a:extLst>
            <a:ext uri="{FF2B5EF4-FFF2-40B4-BE49-F238E27FC236}">
              <a16:creationId xmlns:a16="http://schemas.microsoft.com/office/drawing/2014/main" id="{C5956A53-766F-4974-A4EE-26994DB7167D}"/>
            </a:ext>
          </a:extLst>
        </xdr:cNvPr>
        <xdr:cNvSpPr/>
      </xdr:nvSpPr>
      <xdr:spPr>
        <a:xfrm>
          <a:off x="864394" y="31737299"/>
          <a:ext cx="3074194" cy="3655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5. Nombre d'espèces animales</a:t>
          </a:r>
          <a:r>
            <a:rPr lang="fr-FR" sz="1100" baseline="0"/>
            <a:t> élevées</a:t>
          </a:r>
          <a:endParaRPr lang="fr-FR" sz="1100"/>
        </a:p>
      </xdr:txBody>
    </xdr:sp>
    <xdr:clientData/>
  </xdr:twoCellAnchor>
  <xdr:twoCellAnchor>
    <xdr:from>
      <xdr:col>1</xdr:col>
      <xdr:colOff>261936</xdr:colOff>
      <xdr:row>192</xdr:row>
      <xdr:rowOff>14287</xdr:rowOff>
    </xdr:from>
    <xdr:to>
      <xdr:col>6</xdr:col>
      <xdr:colOff>209549</xdr:colOff>
      <xdr:row>193</xdr:row>
      <xdr:rowOff>186937</xdr:rowOff>
    </xdr:to>
    <xdr:sp macro="" textlink="">
      <xdr:nvSpPr>
        <xdr:cNvPr id="10" name="Parallelogram 9">
          <a:extLst>
            <a:ext uri="{FF2B5EF4-FFF2-40B4-BE49-F238E27FC236}">
              <a16:creationId xmlns:a16="http://schemas.microsoft.com/office/drawing/2014/main" id="{909D0694-8E8D-4A78-B631-819702D727A5}"/>
            </a:ext>
          </a:extLst>
        </xdr:cNvPr>
        <xdr:cNvSpPr/>
      </xdr:nvSpPr>
      <xdr:spPr>
        <a:xfrm>
          <a:off x="869155" y="36709350"/>
          <a:ext cx="2983707"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6. Présence de ruches</a:t>
          </a:r>
        </a:p>
      </xdr:txBody>
    </xdr:sp>
    <xdr:clientData/>
  </xdr:twoCellAnchor>
  <xdr:twoCellAnchor>
    <xdr:from>
      <xdr:col>1</xdr:col>
      <xdr:colOff>228599</xdr:colOff>
      <xdr:row>211</xdr:row>
      <xdr:rowOff>11907</xdr:rowOff>
    </xdr:from>
    <xdr:to>
      <xdr:col>6</xdr:col>
      <xdr:colOff>266699</xdr:colOff>
      <xdr:row>213</xdr:row>
      <xdr:rowOff>3582</xdr:rowOff>
    </xdr:to>
    <xdr:sp macro="" textlink="">
      <xdr:nvSpPr>
        <xdr:cNvPr id="11" name="Parallelogram 10">
          <a:extLst>
            <a:ext uri="{FF2B5EF4-FFF2-40B4-BE49-F238E27FC236}">
              <a16:creationId xmlns:a16="http://schemas.microsoft.com/office/drawing/2014/main" id="{CBAA1F2A-42BE-435B-A5B0-FE5E631D8FAC}"/>
            </a:ext>
          </a:extLst>
        </xdr:cNvPr>
        <xdr:cNvSpPr/>
      </xdr:nvSpPr>
      <xdr:spPr>
        <a:xfrm>
          <a:off x="835818" y="40350282"/>
          <a:ext cx="3074194" cy="3845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7. Variété, race ou espèce</a:t>
          </a:r>
          <a:r>
            <a:rPr lang="fr-FR" sz="1100" baseline="0"/>
            <a:t> menacée</a:t>
          </a:r>
          <a:endParaRPr lang="fr-FR" sz="1100"/>
        </a:p>
      </xdr:txBody>
    </xdr:sp>
    <xdr:clientData/>
  </xdr:twoCellAnchor>
  <xdr:twoCellAnchor>
    <xdr:from>
      <xdr:col>1</xdr:col>
      <xdr:colOff>266700</xdr:colOff>
      <xdr:row>235</xdr:row>
      <xdr:rowOff>16669</xdr:rowOff>
    </xdr:from>
    <xdr:to>
      <xdr:col>6</xdr:col>
      <xdr:colOff>304800</xdr:colOff>
      <xdr:row>237</xdr:row>
      <xdr:rowOff>17869</xdr:rowOff>
    </xdr:to>
    <xdr:sp macro="" textlink="">
      <xdr:nvSpPr>
        <xdr:cNvPr id="12" name="Parallelogram 11">
          <a:extLst>
            <a:ext uri="{FF2B5EF4-FFF2-40B4-BE49-F238E27FC236}">
              <a16:creationId xmlns:a16="http://schemas.microsoft.com/office/drawing/2014/main" id="{D0CE6527-919E-4839-98F8-01D4797E62A9}"/>
            </a:ext>
          </a:extLst>
        </xdr:cNvPr>
        <xdr:cNvSpPr/>
      </xdr:nvSpPr>
      <xdr:spPr>
        <a:xfrm>
          <a:off x="873919" y="44950857"/>
          <a:ext cx="3074194" cy="3941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8. Qualité biologique du sol</a:t>
          </a:r>
        </a:p>
      </xdr:txBody>
    </xdr:sp>
    <xdr:clientData/>
  </xdr:twoCellAnchor>
  <xdr:twoCellAnchor>
    <xdr:from>
      <xdr:col>13</xdr:col>
      <xdr:colOff>357188</xdr:colOff>
      <xdr:row>2</xdr:row>
      <xdr:rowOff>104775</xdr:rowOff>
    </xdr:from>
    <xdr:to>
      <xdr:col>16</xdr:col>
      <xdr:colOff>407532</xdr:colOff>
      <xdr:row>3</xdr:row>
      <xdr:rowOff>162675</xdr:rowOff>
    </xdr:to>
    <xdr:sp macro="" textlink="">
      <xdr:nvSpPr>
        <xdr:cNvPr id="13" name="Parallelogram 12">
          <a:hlinkClick xmlns:r="http://schemas.openxmlformats.org/officeDocument/2006/relationships" r:id="rId3"/>
          <a:extLst>
            <a:ext uri="{FF2B5EF4-FFF2-40B4-BE49-F238E27FC236}">
              <a16:creationId xmlns:a16="http://schemas.microsoft.com/office/drawing/2014/main" id="{F29E375F-5D1C-440D-869C-518102446DE7}"/>
            </a:ext>
          </a:extLst>
        </xdr:cNvPr>
        <xdr:cNvSpPr/>
      </xdr:nvSpPr>
      <xdr:spPr>
        <a:xfrm>
          <a:off x="8251032"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Qualité biologique</a:t>
          </a:r>
        </a:p>
      </xdr:txBody>
    </xdr:sp>
    <xdr:clientData/>
  </xdr:twoCellAnchor>
  <xdr:twoCellAnchor>
    <xdr:from>
      <xdr:col>13</xdr:col>
      <xdr:colOff>357188</xdr:colOff>
      <xdr:row>0</xdr:row>
      <xdr:rowOff>142875</xdr:rowOff>
    </xdr:from>
    <xdr:to>
      <xdr:col>16</xdr:col>
      <xdr:colOff>407532</xdr:colOff>
      <xdr:row>2</xdr:row>
      <xdr:rowOff>10275</xdr:rowOff>
    </xdr:to>
    <xdr:sp macro="" textlink="">
      <xdr:nvSpPr>
        <xdr:cNvPr id="14" name="Parallelogram 13">
          <a:hlinkClick xmlns:r="http://schemas.openxmlformats.org/officeDocument/2006/relationships" r:id="rId4"/>
          <a:extLst>
            <a:ext uri="{FF2B5EF4-FFF2-40B4-BE49-F238E27FC236}">
              <a16:creationId xmlns:a16="http://schemas.microsoft.com/office/drawing/2014/main" id="{35C88DF9-556C-4A0D-B284-2F0299E4695E}"/>
            </a:ext>
          </a:extLst>
        </xdr:cNvPr>
        <xdr:cNvSpPr/>
      </xdr:nvSpPr>
      <xdr:spPr>
        <a:xfrm>
          <a:off x="8251032"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Espèces menacées</a:t>
          </a:r>
        </a:p>
      </xdr:txBody>
    </xdr:sp>
    <xdr:clientData/>
  </xdr:twoCellAnchor>
  <xdr:twoCellAnchor>
    <xdr:from>
      <xdr:col>10</xdr:col>
      <xdr:colOff>180978</xdr:colOff>
      <xdr:row>2</xdr:row>
      <xdr:rowOff>104775</xdr:rowOff>
    </xdr:from>
    <xdr:to>
      <xdr:col>13</xdr:col>
      <xdr:colOff>231322</xdr:colOff>
      <xdr:row>3</xdr:row>
      <xdr:rowOff>162675</xdr:rowOff>
    </xdr:to>
    <xdr:sp macro="" textlink="">
      <xdr:nvSpPr>
        <xdr:cNvPr id="15" name="Parallelogram 14">
          <a:hlinkClick xmlns:r="http://schemas.openxmlformats.org/officeDocument/2006/relationships" r:id="rId5"/>
          <a:extLst>
            <a:ext uri="{FF2B5EF4-FFF2-40B4-BE49-F238E27FC236}">
              <a16:creationId xmlns:a16="http://schemas.microsoft.com/office/drawing/2014/main" id="{02A15F52-2561-43C7-B1DA-D0EF48B96159}"/>
            </a:ext>
          </a:extLst>
        </xdr:cNvPr>
        <xdr:cNvSpPr/>
      </xdr:nvSpPr>
      <xdr:spPr>
        <a:xfrm>
          <a:off x="6253166"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Ruches</a:t>
          </a:r>
        </a:p>
      </xdr:txBody>
    </xdr:sp>
    <xdr:clientData/>
  </xdr:twoCellAnchor>
  <xdr:twoCellAnchor>
    <xdr:from>
      <xdr:col>10</xdr:col>
      <xdr:colOff>180978</xdr:colOff>
      <xdr:row>0</xdr:row>
      <xdr:rowOff>142875</xdr:rowOff>
    </xdr:from>
    <xdr:to>
      <xdr:col>13</xdr:col>
      <xdr:colOff>231322</xdr:colOff>
      <xdr:row>2</xdr:row>
      <xdr:rowOff>10275</xdr:rowOff>
    </xdr:to>
    <xdr:sp macro="" textlink="">
      <xdr:nvSpPr>
        <xdr:cNvPr id="16" name="Parallelogram 15">
          <a:hlinkClick xmlns:r="http://schemas.openxmlformats.org/officeDocument/2006/relationships" r:id="rId6"/>
          <a:extLst>
            <a:ext uri="{FF2B5EF4-FFF2-40B4-BE49-F238E27FC236}">
              <a16:creationId xmlns:a16="http://schemas.microsoft.com/office/drawing/2014/main" id="{BD593A59-1437-4415-98F8-59C31E792DD0}"/>
            </a:ext>
          </a:extLst>
        </xdr:cNvPr>
        <xdr:cNvSpPr/>
      </xdr:nvSpPr>
      <xdr:spPr>
        <a:xfrm>
          <a:off x="6253166"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Nb espèces animales</a:t>
          </a:r>
        </a:p>
      </xdr:txBody>
    </xdr:sp>
    <xdr:clientData/>
  </xdr:twoCellAnchor>
  <xdr:twoCellAnchor>
    <xdr:from>
      <xdr:col>6</xdr:col>
      <xdr:colOff>585788</xdr:colOff>
      <xdr:row>2</xdr:row>
      <xdr:rowOff>104775</xdr:rowOff>
    </xdr:from>
    <xdr:to>
      <xdr:col>10</xdr:col>
      <xdr:colOff>28913</xdr:colOff>
      <xdr:row>3</xdr:row>
      <xdr:rowOff>162675</xdr:rowOff>
    </xdr:to>
    <xdr:sp macro="" textlink="">
      <xdr:nvSpPr>
        <xdr:cNvPr id="17" name="Parallelogram 16">
          <a:hlinkClick xmlns:r="http://schemas.openxmlformats.org/officeDocument/2006/relationships" r:id="rId7"/>
          <a:extLst>
            <a:ext uri="{FF2B5EF4-FFF2-40B4-BE49-F238E27FC236}">
              <a16:creationId xmlns:a16="http://schemas.microsoft.com/office/drawing/2014/main" id="{D6D06995-B678-4DD1-B3D6-03333F56CA52}"/>
            </a:ext>
          </a:extLst>
        </xdr:cNvPr>
        <xdr:cNvSpPr/>
      </xdr:nvSpPr>
      <xdr:spPr>
        <a:xfrm>
          <a:off x="4229101"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Nb</a:t>
          </a:r>
          <a:r>
            <a:rPr lang="fr-FR" sz="1100" b="1" baseline="0">
              <a:solidFill>
                <a:schemeClr val="accent1">
                  <a:lumMod val="50000"/>
                </a:schemeClr>
              </a:solidFill>
            </a:rPr>
            <a:t> espèces végétales</a:t>
          </a:r>
          <a:endParaRPr lang="fr-FR" sz="1100" b="1">
            <a:solidFill>
              <a:schemeClr val="accent1">
                <a:lumMod val="50000"/>
              </a:schemeClr>
            </a:solidFill>
          </a:endParaRPr>
        </a:p>
      </xdr:txBody>
    </xdr:sp>
    <xdr:clientData/>
  </xdr:twoCellAnchor>
  <xdr:twoCellAnchor>
    <xdr:from>
      <xdr:col>6</xdr:col>
      <xdr:colOff>585788</xdr:colOff>
      <xdr:row>0</xdr:row>
      <xdr:rowOff>142875</xdr:rowOff>
    </xdr:from>
    <xdr:to>
      <xdr:col>10</xdr:col>
      <xdr:colOff>28913</xdr:colOff>
      <xdr:row>2</xdr:row>
      <xdr:rowOff>10275</xdr:rowOff>
    </xdr:to>
    <xdr:sp macro="" textlink="">
      <xdr:nvSpPr>
        <xdr:cNvPr id="18" name="Parallelogram 17">
          <a:hlinkClick xmlns:r="http://schemas.openxmlformats.org/officeDocument/2006/relationships" r:id="rId8"/>
          <a:extLst>
            <a:ext uri="{FF2B5EF4-FFF2-40B4-BE49-F238E27FC236}">
              <a16:creationId xmlns:a16="http://schemas.microsoft.com/office/drawing/2014/main" id="{24E00755-5024-4E55-B682-4854D81F65A5}"/>
            </a:ext>
          </a:extLst>
        </xdr:cNvPr>
        <xdr:cNvSpPr/>
      </xdr:nvSpPr>
      <xdr:spPr>
        <a:xfrm>
          <a:off x="4229101"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Culture principale</a:t>
          </a:r>
        </a:p>
      </xdr:txBody>
    </xdr:sp>
    <xdr:clientData/>
  </xdr:twoCellAnchor>
  <xdr:twoCellAnchor>
    <xdr:from>
      <xdr:col>3</xdr:col>
      <xdr:colOff>409573</xdr:colOff>
      <xdr:row>2</xdr:row>
      <xdr:rowOff>104775</xdr:rowOff>
    </xdr:from>
    <xdr:to>
      <xdr:col>6</xdr:col>
      <xdr:colOff>459916</xdr:colOff>
      <xdr:row>3</xdr:row>
      <xdr:rowOff>162675</xdr:rowOff>
    </xdr:to>
    <xdr:sp macro="" textlink="">
      <xdr:nvSpPr>
        <xdr:cNvPr id="19" name="Parallelogram 18">
          <a:hlinkClick xmlns:r="http://schemas.openxmlformats.org/officeDocument/2006/relationships" r:id="rId9"/>
          <a:extLst>
            <a:ext uri="{FF2B5EF4-FFF2-40B4-BE49-F238E27FC236}">
              <a16:creationId xmlns:a16="http://schemas.microsoft.com/office/drawing/2014/main" id="{DB5ED9AD-D965-42F2-ABFC-6CC87AC933CE}"/>
            </a:ext>
          </a:extLst>
        </xdr:cNvPr>
        <xdr:cNvSpPr/>
      </xdr:nvSpPr>
      <xdr:spPr>
        <a:xfrm>
          <a:off x="2231229"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Taille parcelles</a:t>
          </a:r>
        </a:p>
      </xdr:txBody>
    </xdr:sp>
    <xdr:clientData/>
  </xdr:twoCellAnchor>
  <xdr:twoCellAnchor>
    <xdr:from>
      <xdr:col>3</xdr:col>
      <xdr:colOff>409573</xdr:colOff>
      <xdr:row>0</xdr:row>
      <xdr:rowOff>142875</xdr:rowOff>
    </xdr:from>
    <xdr:to>
      <xdr:col>6</xdr:col>
      <xdr:colOff>459916</xdr:colOff>
      <xdr:row>2</xdr:row>
      <xdr:rowOff>10275</xdr:rowOff>
    </xdr:to>
    <xdr:sp macro="" textlink="">
      <xdr:nvSpPr>
        <xdr:cNvPr id="20" name="Parallelogram 19">
          <a:hlinkClick xmlns:r="http://schemas.openxmlformats.org/officeDocument/2006/relationships" r:id="rId10"/>
          <a:extLst>
            <a:ext uri="{FF2B5EF4-FFF2-40B4-BE49-F238E27FC236}">
              <a16:creationId xmlns:a16="http://schemas.microsoft.com/office/drawing/2014/main" id="{EB49263B-DFEC-444B-A6B9-0202FFFF1A8D}"/>
            </a:ext>
          </a:extLst>
        </xdr:cNvPr>
        <xdr:cNvSpPr/>
      </xdr:nvSpPr>
      <xdr:spPr>
        <a:xfrm>
          <a:off x="2231229"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IAE</a:t>
          </a:r>
        </a:p>
      </xdr:txBody>
    </xdr:sp>
    <xdr:clientData/>
  </xdr:twoCellAnchor>
  <xdr:twoCellAnchor>
    <xdr:from>
      <xdr:col>1</xdr:col>
      <xdr:colOff>266700</xdr:colOff>
      <xdr:row>258</xdr:row>
      <xdr:rowOff>0</xdr:rowOff>
    </xdr:from>
    <xdr:to>
      <xdr:col>6</xdr:col>
      <xdr:colOff>304800</xdr:colOff>
      <xdr:row>260</xdr:row>
      <xdr:rowOff>12406</xdr:rowOff>
    </xdr:to>
    <xdr:sp macro="" textlink="">
      <xdr:nvSpPr>
        <xdr:cNvPr id="3" name="Parallelogram 2">
          <a:extLst>
            <a:ext uri="{FF2B5EF4-FFF2-40B4-BE49-F238E27FC236}">
              <a16:creationId xmlns:a16="http://schemas.microsoft.com/office/drawing/2014/main" id="{6B50E49B-C84A-4348-B8A5-3DC2F58BA09C}"/>
            </a:ext>
          </a:extLst>
        </xdr:cNvPr>
        <xdr:cNvSpPr/>
      </xdr:nvSpPr>
      <xdr:spPr>
        <a:xfrm>
          <a:off x="871818" y="48185294"/>
          <a:ext cx="3063688" cy="3934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16</xdr:col>
      <xdr:colOff>554695</xdr:colOff>
      <xdr:row>0</xdr:row>
      <xdr:rowOff>149182</xdr:rowOff>
    </xdr:from>
    <xdr:to>
      <xdr:col>19</xdr:col>
      <xdr:colOff>353039</xdr:colOff>
      <xdr:row>2</xdr:row>
      <xdr:rowOff>16582</xdr:rowOff>
    </xdr:to>
    <xdr:sp macro="" textlink="">
      <xdr:nvSpPr>
        <xdr:cNvPr id="4" name="Parallelogram 3">
          <a:hlinkClick xmlns:r="http://schemas.openxmlformats.org/officeDocument/2006/relationships" r:id="rId11"/>
          <a:extLst>
            <a:ext uri="{FF2B5EF4-FFF2-40B4-BE49-F238E27FC236}">
              <a16:creationId xmlns:a16="http://schemas.microsoft.com/office/drawing/2014/main" id="{DBEC49B9-5BFE-4923-804F-992B7C9D73E1}"/>
            </a:ext>
          </a:extLst>
        </xdr:cNvPr>
        <xdr:cNvSpPr/>
      </xdr:nvSpPr>
      <xdr:spPr>
        <a:xfrm>
          <a:off x="10270195" y="149182"/>
          <a:ext cx="162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Récapitulatif</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2</xdr:col>
      <xdr:colOff>228600</xdr:colOff>
      <xdr:row>4</xdr:row>
      <xdr:rowOff>69067</xdr:rowOff>
    </xdr:to>
    <xdr:pic>
      <xdr:nvPicPr>
        <xdr:cNvPr id="2" name="Image 1">
          <a:hlinkClick xmlns:r="http://schemas.openxmlformats.org/officeDocument/2006/relationships" r:id="rId1"/>
          <a:extLst>
            <a:ext uri="{FF2B5EF4-FFF2-40B4-BE49-F238E27FC236}">
              <a16:creationId xmlns:a16="http://schemas.microsoft.com/office/drawing/2014/main" id="{5E191D59-5845-42CE-ABA1-748E3366D397}"/>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twoCellAnchor>
    <xdr:from>
      <xdr:col>1</xdr:col>
      <xdr:colOff>309562</xdr:colOff>
      <xdr:row>6</xdr:row>
      <xdr:rowOff>38100</xdr:rowOff>
    </xdr:from>
    <xdr:to>
      <xdr:col>6</xdr:col>
      <xdr:colOff>1154905</xdr:colOff>
      <xdr:row>7</xdr:row>
      <xdr:rowOff>172650</xdr:rowOff>
    </xdr:to>
    <xdr:sp macro="" textlink="">
      <xdr:nvSpPr>
        <xdr:cNvPr id="3" name="Parallelogram 2">
          <a:extLst>
            <a:ext uri="{FF2B5EF4-FFF2-40B4-BE49-F238E27FC236}">
              <a16:creationId xmlns:a16="http://schemas.microsoft.com/office/drawing/2014/main" id="{5C2F2262-AB6F-4F12-9031-8AE6E977EDC4}"/>
            </a:ext>
          </a:extLst>
        </xdr:cNvPr>
        <xdr:cNvSpPr/>
      </xdr:nvSpPr>
      <xdr:spPr>
        <a:xfrm>
          <a:off x="916781" y="1181100"/>
          <a:ext cx="3881437" cy="3369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a:t>
          </a:r>
          <a:r>
            <a:rPr lang="fr-FR" sz="1100" baseline="0"/>
            <a:t> Limitation de l'utilisation de produits classés CMR</a:t>
          </a:r>
          <a:endParaRPr lang="fr-FR" sz="1100"/>
        </a:p>
      </xdr:txBody>
    </xdr:sp>
    <xdr:clientData/>
  </xdr:twoCellAnchor>
  <xdr:twoCellAnchor>
    <xdr:from>
      <xdr:col>1</xdr:col>
      <xdr:colOff>285749</xdr:colOff>
      <xdr:row>29</xdr:row>
      <xdr:rowOff>33338</xdr:rowOff>
    </xdr:from>
    <xdr:to>
      <xdr:col>6</xdr:col>
      <xdr:colOff>221454</xdr:colOff>
      <xdr:row>30</xdr:row>
      <xdr:rowOff>177413</xdr:rowOff>
    </xdr:to>
    <xdr:sp macro="" textlink="">
      <xdr:nvSpPr>
        <xdr:cNvPr id="4" name="Parallelogram 3">
          <a:extLst>
            <a:ext uri="{FF2B5EF4-FFF2-40B4-BE49-F238E27FC236}">
              <a16:creationId xmlns:a16="http://schemas.microsoft.com/office/drawing/2014/main" id="{77BE333C-B8C1-42F4-9B14-1BFD5B096B34}"/>
            </a:ext>
          </a:extLst>
        </xdr:cNvPr>
        <xdr:cNvSpPr/>
      </xdr:nvSpPr>
      <xdr:spPr>
        <a:xfrm>
          <a:off x="892968" y="5581651"/>
          <a:ext cx="2971799" cy="3464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2. Surfaces non traitées</a:t>
          </a:r>
        </a:p>
      </xdr:txBody>
    </xdr:sp>
    <xdr:clientData/>
  </xdr:twoCellAnchor>
  <xdr:twoCellAnchor>
    <xdr:from>
      <xdr:col>1</xdr:col>
      <xdr:colOff>297656</xdr:colOff>
      <xdr:row>60</xdr:row>
      <xdr:rowOff>28575</xdr:rowOff>
    </xdr:from>
    <xdr:to>
      <xdr:col>7</xdr:col>
      <xdr:colOff>511969</xdr:colOff>
      <xdr:row>61</xdr:row>
      <xdr:rowOff>182175</xdr:rowOff>
    </xdr:to>
    <xdr:sp macro="" textlink="">
      <xdr:nvSpPr>
        <xdr:cNvPr id="5" name="Parallelogram 4">
          <a:extLst>
            <a:ext uri="{FF2B5EF4-FFF2-40B4-BE49-F238E27FC236}">
              <a16:creationId xmlns:a16="http://schemas.microsoft.com/office/drawing/2014/main" id="{F3023BDB-6F63-49AE-8555-511DD010075A}"/>
            </a:ext>
          </a:extLst>
        </xdr:cNvPr>
        <xdr:cNvSpPr/>
      </xdr:nvSpPr>
      <xdr:spPr>
        <a:xfrm>
          <a:off x="904875" y="11506200"/>
          <a:ext cx="4560094" cy="3560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3. Indicateur de fréquence de traitement phytosanitaire (IFT)</a:t>
          </a:r>
        </a:p>
      </xdr:txBody>
    </xdr:sp>
    <xdr:clientData/>
  </xdr:twoCellAnchor>
  <xdr:twoCellAnchor>
    <xdr:from>
      <xdr:col>1</xdr:col>
      <xdr:colOff>333374</xdr:colOff>
      <xdr:row>128</xdr:row>
      <xdr:rowOff>19046</xdr:rowOff>
    </xdr:from>
    <xdr:to>
      <xdr:col>6</xdr:col>
      <xdr:colOff>705969</xdr:colOff>
      <xdr:row>129</xdr:row>
      <xdr:rowOff>172646</xdr:rowOff>
    </xdr:to>
    <xdr:sp macro="" textlink="">
      <xdr:nvSpPr>
        <xdr:cNvPr id="6" name="Parallelogram 5">
          <a:extLst>
            <a:ext uri="{FF2B5EF4-FFF2-40B4-BE49-F238E27FC236}">
              <a16:creationId xmlns:a16="http://schemas.microsoft.com/office/drawing/2014/main" id="{7CBE8161-BA61-473C-B7E4-07119F7038BA}"/>
            </a:ext>
          </a:extLst>
        </xdr:cNvPr>
        <xdr:cNvSpPr/>
      </xdr:nvSpPr>
      <xdr:spPr>
        <a:xfrm>
          <a:off x="940593" y="25165046"/>
          <a:ext cx="3408689" cy="3560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4. Quantité de substances actives appliquée</a:t>
          </a:r>
        </a:p>
      </xdr:txBody>
    </xdr:sp>
    <xdr:clientData/>
  </xdr:twoCellAnchor>
  <xdr:twoCellAnchor>
    <xdr:from>
      <xdr:col>1</xdr:col>
      <xdr:colOff>304800</xdr:colOff>
      <xdr:row>158</xdr:row>
      <xdr:rowOff>11906</xdr:rowOff>
    </xdr:from>
    <xdr:to>
      <xdr:col>6</xdr:col>
      <xdr:colOff>342900</xdr:colOff>
      <xdr:row>159</xdr:row>
      <xdr:rowOff>175031</xdr:rowOff>
    </xdr:to>
    <xdr:sp macro="" textlink="">
      <xdr:nvSpPr>
        <xdr:cNvPr id="7" name="Parallelogram 6">
          <a:extLst>
            <a:ext uri="{FF2B5EF4-FFF2-40B4-BE49-F238E27FC236}">
              <a16:creationId xmlns:a16="http://schemas.microsoft.com/office/drawing/2014/main" id="{AD600E20-A8E4-489C-9ED8-177EE842640B}"/>
            </a:ext>
          </a:extLst>
        </xdr:cNvPr>
        <xdr:cNvSpPr/>
      </xdr:nvSpPr>
      <xdr:spPr>
        <a:xfrm>
          <a:off x="912019" y="30706219"/>
          <a:ext cx="3074194" cy="3655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5. Surveillance active des parcelles</a:t>
          </a:r>
        </a:p>
      </xdr:txBody>
    </xdr:sp>
    <xdr:clientData/>
  </xdr:twoCellAnchor>
  <xdr:twoCellAnchor>
    <xdr:from>
      <xdr:col>1</xdr:col>
      <xdr:colOff>276224</xdr:colOff>
      <xdr:row>199</xdr:row>
      <xdr:rowOff>26194</xdr:rowOff>
    </xdr:from>
    <xdr:to>
      <xdr:col>6</xdr:col>
      <xdr:colOff>1023937</xdr:colOff>
      <xdr:row>201</xdr:row>
      <xdr:rowOff>8344</xdr:rowOff>
    </xdr:to>
    <xdr:sp macro="" textlink="">
      <xdr:nvSpPr>
        <xdr:cNvPr id="8" name="Parallelogram 7">
          <a:extLst>
            <a:ext uri="{FF2B5EF4-FFF2-40B4-BE49-F238E27FC236}">
              <a16:creationId xmlns:a16="http://schemas.microsoft.com/office/drawing/2014/main" id="{A2446A49-77BB-4D67-8C39-E0C2591344B9}"/>
            </a:ext>
          </a:extLst>
        </xdr:cNvPr>
        <xdr:cNvSpPr/>
      </xdr:nvSpPr>
      <xdr:spPr>
        <a:xfrm>
          <a:off x="883443" y="38554819"/>
          <a:ext cx="3783807"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6. Utilisation de méthodes alternatives</a:t>
          </a:r>
        </a:p>
      </xdr:txBody>
    </xdr:sp>
    <xdr:clientData/>
  </xdr:twoCellAnchor>
  <xdr:twoCellAnchor>
    <xdr:from>
      <xdr:col>1</xdr:col>
      <xdr:colOff>333375</xdr:colOff>
      <xdr:row>233</xdr:row>
      <xdr:rowOff>21432</xdr:rowOff>
    </xdr:from>
    <xdr:to>
      <xdr:col>6</xdr:col>
      <xdr:colOff>600075</xdr:colOff>
      <xdr:row>235</xdr:row>
      <xdr:rowOff>3582</xdr:rowOff>
    </xdr:to>
    <xdr:sp macro="" textlink="">
      <xdr:nvSpPr>
        <xdr:cNvPr id="9" name="Parallelogram 8">
          <a:extLst>
            <a:ext uri="{FF2B5EF4-FFF2-40B4-BE49-F238E27FC236}">
              <a16:creationId xmlns:a16="http://schemas.microsoft.com/office/drawing/2014/main" id="{B394D117-0ECE-464B-BEDD-673E9C35F736}"/>
            </a:ext>
          </a:extLst>
        </xdr:cNvPr>
        <xdr:cNvSpPr/>
      </xdr:nvSpPr>
      <xdr:spPr>
        <a:xfrm>
          <a:off x="940594" y="45050870"/>
          <a:ext cx="3302794"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7. Conditions</a:t>
          </a:r>
          <a:r>
            <a:rPr lang="fr-FR" sz="1100" baseline="0"/>
            <a:t> d'application des traitements</a:t>
          </a:r>
          <a:endParaRPr lang="fr-FR" sz="1100"/>
        </a:p>
      </xdr:txBody>
    </xdr:sp>
    <xdr:clientData/>
  </xdr:twoCellAnchor>
  <xdr:twoCellAnchor>
    <xdr:from>
      <xdr:col>1</xdr:col>
      <xdr:colOff>252411</xdr:colOff>
      <xdr:row>257</xdr:row>
      <xdr:rowOff>14288</xdr:rowOff>
    </xdr:from>
    <xdr:to>
      <xdr:col>6</xdr:col>
      <xdr:colOff>290511</xdr:colOff>
      <xdr:row>258</xdr:row>
      <xdr:rowOff>186938</xdr:rowOff>
    </xdr:to>
    <xdr:sp macro="" textlink="">
      <xdr:nvSpPr>
        <xdr:cNvPr id="10" name="Parallelogram 9">
          <a:extLst>
            <a:ext uri="{FF2B5EF4-FFF2-40B4-BE49-F238E27FC236}">
              <a16:creationId xmlns:a16="http://schemas.microsoft.com/office/drawing/2014/main" id="{5695135E-7412-4317-AE8F-8B420F94407F}"/>
            </a:ext>
          </a:extLst>
        </xdr:cNvPr>
        <xdr:cNvSpPr/>
      </xdr:nvSpPr>
      <xdr:spPr>
        <a:xfrm>
          <a:off x="859630" y="49639538"/>
          <a:ext cx="3074194"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8. Diversité spécifique et variétale</a:t>
          </a:r>
        </a:p>
      </xdr:txBody>
    </xdr:sp>
    <xdr:clientData/>
  </xdr:twoCellAnchor>
  <xdr:twoCellAnchor editAs="oneCell">
    <xdr:from>
      <xdr:col>1</xdr:col>
      <xdr:colOff>295275</xdr:colOff>
      <xdr:row>298</xdr:row>
      <xdr:rowOff>16669</xdr:rowOff>
    </xdr:from>
    <xdr:to>
      <xdr:col>6</xdr:col>
      <xdr:colOff>333375</xdr:colOff>
      <xdr:row>300</xdr:row>
      <xdr:rowOff>8344</xdr:rowOff>
    </xdr:to>
    <xdr:sp macro="" textlink="">
      <xdr:nvSpPr>
        <xdr:cNvPr id="11" name="Parallelogram 10">
          <a:extLst>
            <a:ext uri="{FF2B5EF4-FFF2-40B4-BE49-F238E27FC236}">
              <a16:creationId xmlns:a16="http://schemas.microsoft.com/office/drawing/2014/main" id="{1593EBFD-448C-41F6-BC5D-B36B6CE987BB}"/>
            </a:ext>
          </a:extLst>
        </xdr:cNvPr>
        <xdr:cNvSpPr/>
      </xdr:nvSpPr>
      <xdr:spPr>
        <a:xfrm>
          <a:off x="902494" y="57476232"/>
          <a:ext cx="3074194" cy="3845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9. Couvert végétal inter-rang</a:t>
          </a:r>
        </a:p>
      </xdr:txBody>
    </xdr:sp>
    <xdr:clientData/>
  </xdr:twoCellAnchor>
  <xdr:twoCellAnchor>
    <xdr:from>
      <xdr:col>1</xdr:col>
      <xdr:colOff>271463</xdr:colOff>
      <xdr:row>331</xdr:row>
      <xdr:rowOff>2382</xdr:rowOff>
    </xdr:from>
    <xdr:to>
      <xdr:col>6</xdr:col>
      <xdr:colOff>1190625</xdr:colOff>
      <xdr:row>333</xdr:row>
      <xdr:rowOff>3582</xdr:rowOff>
    </xdr:to>
    <xdr:sp macro="" textlink="">
      <xdr:nvSpPr>
        <xdr:cNvPr id="12" name="Parallelogram 11">
          <a:extLst>
            <a:ext uri="{FF2B5EF4-FFF2-40B4-BE49-F238E27FC236}">
              <a16:creationId xmlns:a16="http://schemas.microsoft.com/office/drawing/2014/main" id="{5EB061E2-6C4A-417F-AFE8-6516F6C82178}"/>
            </a:ext>
          </a:extLst>
        </xdr:cNvPr>
        <xdr:cNvSpPr/>
      </xdr:nvSpPr>
      <xdr:spPr>
        <a:xfrm>
          <a:off x="878682" y="63772257"/>
          <a:ext cx="3955256" cy="3941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10. Recyclage et traitement des eaux d'irrigation</a:t>
          </a:r>
        </a:p>
      </xdr:txBody>
    </xdr:sp>
    <xdr:clientData/>
  </xdr:twoCellAnchor>
  <xdr:twoCellAnchor>
    <xdr:from>
      <xdr:col>15</xdr:col>
      <xdr:colOff>176225</xdr:colOff>
      <xdr:row>2</xdr:row>
      <xdr:rowOff>133351</xdr:rowOff>
    </xdr:from>
    <xdr:to>
      <xdr:col>18</xdr:col>
      <xdr:colOff>478569</xdr:colOff>
      <xdr:row>4</xdr:row>
      <xdr:rowOff>751</xdr:rowOff>
    </xdr:to>
    <xdr:sp macro="" textlink="">
      <xdr:nvSpPr>
        <xdr:cNvPr id="13" name="Parallelogram 12">
          <a:hlinkClick xmlns:r="http://schemas.openxmlformats.org/officeDocument/2006/relationships" r:id="rId3"/>
          <a:extLst>
            <a:ext uri="{FF2B5EF4-FFF2-40B4-BE49-F238E27FC236}">
              <a16:creationId xmlns:a16="http://schemas.microsoft.com/office/drawing/2014/main" id="{748B1811-C000-4A22-A4F5-7CB3BC301A6F}"/>
            </a:ext>
          </a:extLst>
        </xdr:cNvPr>
        <xdr:cNvSpPr/>
      </xdr:nvSpPr>
      <xdr:spPr>
        <a:xfrm>
          <a:off x="9986975" y="514351"/>
          <a:ext cx="2124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Recyclage eaux</a:t>
          </a:r>
        </a:p>
      </xdr:txBody>
    </xdr:sp>
    <xdr:clientData/>
  </xdr:twoCellAnchor>
  <xdr:twoCellAnchor>
    <xdr:from>
      <xdr:col>2</xdr:col>
      <xdr:colOff>409575</xdr:colOff>
      <xdr:row>0</xdr:row>
      <xdr:rowOff>142875</xdr:rowOff>
    </xdr:from>
    <xdr:to>
      <xdr:col>6</xdr:col>
      <xdr:colOff>68700</xdr:colOff>
      <xdr:row>2</xdr:row>
      <xdr:rowOff>10275</xdr:rowOff>
    </xdr:to>
    <xdr:sp macro="" textlink="">
      <xdr:nvSpPr>
        <xdr:cNvPr id="14" name="Parallelogram 13">
          <a:hlinkClick xmlns:r="http://schemas.openxmlformats.org/officeDocument/2006/relationships" r:id="rId4"/>
          <a:extLst>
            <a:ext uri="{FF2B5EF4-FFF2-40B4-BE49-F238E27FC236}">
              <a16:creationId xmlns:a16="http://schemas.microsoft.com/office/drawing/2014/main" id="{F4D671D9-2FD7-443A-8B7E-02F49D88B2E8}"/>
            </a:ext>
          </a:extLst>
        </xdr:cNvPr>
        <xdr:cNvSpPr/>
      </xdr:nvSpPr>
      <xdr:spPr>
        <a:xfrm>
          <a:off x="1624013"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CMR</a:t>
          </a:r>
        </a:p>
      </xdr:txBody>
    </xdr:sp>
    <xdr:clientData/>
  </xdr:twoCellAnchor>
  <xdr:twoCellAnchor>
    <xdr:from>
      <xdr:col>2</xdr:col>
      <xdr:colOff>409575</xdr:colOff>
      <xdr:row>2</xdr:row>
      <xdr:rowOff>133351</xdr:rowOff>
    </xdr:from>
    <xdr:to>
      <xdr:col>6</xdr:col>
      <xdr:colOff>68700</xdr:colOff>
      <xdr:row>4</xdr:row>
      <xdr:rowOff>751</xdr:rowOff>
    </xdr:to>
    <xdr:sp macro="" textlink="">
      <xdr:nvSpPr>
        <xdr:cNvPr id="15" name="Parallelogram 14">
          <a:hlinkClick xmlns:r="http://schemas.openxmlformats.org/officeDocument/2006/relationships" r:id="rId5"/>
          <a:extLst>
            <a:ext uri="{FF2B5EF4-FFF2-40B4-BE49-F238E27FC236}">
              <a16:creationId xmlns:a16="http://schemas.microsoft.com/office/drawing/2014/main" id="{B7F31044-1005-4575-9054-9F8DC9E294FD}"/>
            </a:ext>
          </a:extLst>
        </xdr:cNvPr>
        <xdr:cNvSpPr/>
      </xdr:nvSpPr>
      <xdr:spPr>
        <a:xfrm>
          <a:off x="1624013"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Surfaces non traitées</a:t>
          </a:r>
        </a:p>
      </xdr:txBody>
    </xdr:sp>
    <xdr:clientData/>
  </xdr:twoCellAnchor>
  <xdr:twoCellAnchor>
    <xdr:from>
      <xdr:col>6</xdr:col>
      <xdr:colOff>83349</xdr:colOff>
      <xdr:row>0</xdr:row>
      <xdr:rowOff>142875</xdr:rowOff>
    </xdr:from>
    <xdr:to>
      <xdr:col>8</xdr:col>
      <xdr:colOff>254443</xdr:colOff>
      <xdr:row>2</xdr:row>
      <xdr:rowOff>10275</xdr:rowOff>
    </xdr:to>
    <xdr:sp macro="" textlink="">
      <xdr:nvSpPr>
        <xdr:cNvPr id="16" name="Parallelogram 15">
          <a:hlinkClick xmlns:r="http://schemas.openxmlformats.org/officeDocument/2006/relationships" r:id="rId6"/>
          <a:extLst>
            <a:ext uri="{FF2B5EF4-FFF2-40B4-BE49-F238E27FC236}">
              <a16:creationId xmlns:a16="http://schemas.microsoft.com/office/drawing/2014/main" id="{DBF8BF37-07D2-4851-958D-84E3135F7E75}"/>
            </a:ext>
          </a:extLst>
        </xdr:cNvPr>
        <xdr:cNvSpPr/>
      </xdr:nvSpPr>
      <xdr:spPr>
        <a:xfrm>
          <a:off x="3726662"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IFT</a:t>
          </a:r>
        </a:p>
      </xdr:txBody>
    </xdr:sp>
    <xdr:clientData/>
  </xdr:twoCellAnchor>
  <xdr:twoCellAnchor>
    <xdr:from>
      <xdr:col>6</xdr:col>
      <xdr:colOff>83349</xdr:colOff>
      <xdr:row>2</xdr:row>
      <xdr:rowOff>133351</xdr:rowOff>
    </xdr:from>
    <xdr:to>
      <xdr:col>8</xdr:col>
      <xdr:colOff>254443</xdr:colOff>
      <xdr:row>4</xdr:row>
      <xdr:rowOff>751</xdr:rowOff>
    </xdr:to>
    <xdr:sp macro="" textlink="">
      <xdr:nvSpPr>
        <xdr:cNvPr id="17" name="Parallelogram 16">
          <a:hlinkClick xmlns:r="http://schemas.openxmlformats.org/officeDocument/2006/relationships" r:id="rId7"/>
          <a:extLst>
            <a:ext uri="{FF2B5EF4-FFF2-40B4-BE49-F238E27FC236}">
              <a16:creationId xmlns:a16="http://schemas.microsoft.com/office/drawing/2014/main" id="{CC4B25A7-1425-48D9-9817-8B7E048479C1}"/>
            </a:ext>
          </a:extLst>
        </xdr:cNvPr>
        <xdr:cNvSpPr/>
      </xdr:nvSpPr>
      <xdr:spPr>
        <a:xfrm>
          <a:off x="3726662"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Quantité appliquée</a:t>
          </a:r>
        </a:p>
      </xdr:txBody>
    </xdr:sp>
    <xdr:clientData/>
  </xdr:twoCellAnchor>
  <xdr:twoCellAnchor>
    <xdr:from>
      <xdr:col>8</xdr:col>
      <xdr:colOff>245276</xdr:colOff>
      <xdr:row>0</xdr:row>
      <xdr:rowOff>142875</xdr:rowOff>
    </xdr:from>
    <xdr:to>
      <xdr:col>11</xdr:col>
      <xdr:colOff>511620</xdr:colOff>
      <xdr:row>2</xdr:row>
      <xdr:rowOff>10275</xdr:rowOff>
    </xdr:to>
    <xdr:sp macro="" textlink="">
      <xdr:nvSpPr>
        <xdr:cNvPr id="18" name="Parallelogram 17">
          <a:hlinkClick xmlns:r="http://schemas.openxmlformats.org/officeDocument/2006/relationships" r:id="rId8"/>
          <a:extLst>
            <a:ext uri="{FF2B5EF4-FFF2-40B4-BE49-F238E27FC236}">
              <a16:creationId xmlns:a16="http://schemas.microsoft.com/office/drawing/2014/main" id="{8DE72502-EB22-41E1-AB7D-A91CEE76F15C}"/>
            </a:ext>
          </a:extLst>
        </xdr:cNvPr>
        <xdr:cNvSpPr/>
      </xdr:nvSpPr>
      <xdr:spPr>
        <a:xfrm>
          <a:off x="5805495"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Surveillance </a:t>
          </a:r>
        </a:p>
      </xdr:txBody>
    </xdr:sp>
    <xdr:clientData/>
  </xdr:twoCellAnchor>
  <xdr:twoCellAnchor>
    <xdr:from>
      <xdr:col>8</xdr:col>
      <xdr:colOff>245276</xdr:colOff>
      <xdr:row>2</xdr:row>
      <xdr:rowOff>133351</xdr:rowOff>
    </xdr:from>
    <xdr:to>
      <xdr:col>11</xdr:col>
      <xdr:colOff>511620</xdr:colOff>
      <xdr:row>4</xdr:row>
      <xdr:rowOff>751</xdr:rowOff>
    </xdr:to>
    <xdr:sp macro="" textlink="">
      <xdr:nvSpPr>
        <xdr:cNvPr id="19" name="Parallelogram 18">
          <a:hlinkClick xmlns:r="http://schemas.openxmlformats.org/officeDocument/2006/relationships" r:id="rId9"/>
          <a:extLst>
            <a:ext uri="{FF2B5EF4-FFF2-40B4-BE49-F238E27FC236}">
              <a16:creationId xmlns:a16="http://schemas.microsoft.com/office/drawing/2014/main" id="{3F75356F-0FDA-42F5-BEDE-3A168123BFF3}"/>
            </a:ext>
          </a:extLst>
        </xdr:cNvPr>
        <xdr:cNvSpPr/>
      </xdr:nvSpPr>
      <xdr:spPr>
        <a:xfrm>
          <a:off x="5805495"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Méthodes alternatives</a:t>
          </a:r>
        </a:p>
      </xdr:txBody>
    </xdr:sp>
    <xdr:clientData/>
  </xdr:twoCellAnchor>
  <xdr:twoCellAnchor>
    <xdr:from>
      <xdr:col>11</xdr:col>
      <xdr:colOff>514355</xdr:colOff>
      <xdr:row>0</xdr:row>
      <xdr:rowOff>142875</xdr:rowOff>
    </xdr:from>
    <xdr:to>
      <xdr:col>15</xdr:col>
      <xdr:colOff>173480</xdr:colOff>
      <xdr:row>2</xdr:row>
      <xdr:rowOff>10275</xdr:rowOff>
    </xdr:to>
    <xdr:sp macro="" textlink="">
      <xdr:nvSpPr>
        <xdr:cNvPr id="20" name="Parallelogram 19">
          <a:hlinkClick xmlns:r="http://schemas.openxmlformats.org/officeDocument/2006/relationships" r:id="rId10"/>
          <a:extLst>
            <a:ext uri="{FF2B5EF4-FFF2-40B4-BE49-F238E27FC236}">
              <a16:creationId xmlns:a16="http://schemas.microsoft.com/office/drawing/2014/main" id="{737C2765-3EFE-4381-805D-8A262319A8CA}"/>
            </a:ext>
          </a:extLst>
        </xdr:cNvPr>
        <xdr:cNvSpPr/>
      </xdr:nvSpPr>
      <xdr:spPr>
        <a:xfrm>
          <a:off x="7896230"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Application traitements</a:t>
          </a:r>
        </a:p>
      </xdr:txBody>
    </xdr:sp>
    <xdr:clientData/>
  </xdr:twoCellAnchor>
  <xdr:twoCellAnchor>
    <xdr:from>
      <xdr:col>11</xdr:col>
      <xdr:colOff>514355</xdr:colOff>
      <xdr:row>2</xdr:row>
      <xdr:rowOff>133351</xdr:rowOff>
    </xdr:from>
    <xdr:to>
      <xdr:col>15</xdr:col>
      <xdr:colOff>173480</xdr:colOff>
      <xdr:row>4</xdr:row>
      <xdr:rowOff>751</xdr:rowOff>
    </xdr:to>
    <xdr:sp macro="" textlink="">
      <xdr:nvSpPr>
        <xdr:cNvPr id="21" name="Parallelogram 20">
          <a:hlinkClick xmlns:r="http://schemas.openxmlformats.org/officeDocument/2006/relationships" r:id="rId11"/>
          <a:extLst>
            <a:ext uri="{FF2B5EF4-FFF2-40B4-BE49-F238E27FC236}">
              <a16:creationId xmlns:a16="http://schemas.microsoft.com/office/drawing/2014/main" id="{9239F00B-9857-4524-BE6D-8406D5AA32BB}"/>
            </a:ext>
          </a:extLst>
        </xdr:cNvPr>
        <xdr:cNvSpPr/>
      </xdr:nvSpPr>
      <xdr:spPr>
        <a:xfrm>
          <a:off x="7896230"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Diversité variétale</a:t>
          </a:r>
        </a:p>
      </xdr:txBody>
    </xdr:sp>
    <xdr:clientData/>
  </xdr:twoCellAnchor>
  <xdr:twoCellAnchor>
    <xdr:from>
      <xdr:col>15</xdr:col>
      <xdr:colOff>176225</xdr:colOff>
      <xdr:row>0</xdr:row>
      <xdr:rowOff>142875</xdr:rowOff>
    </xdr:from>
    <xdr:to>
      <xdr:col>18</xdr:col>
      <xdr:colOff>478569</xdr:colOff>
      <xdr:row>2</xdr:row>
      <xdr:rowOff>10275</xdr:rowOff>
    </xdr:to>
    <xdr:sp macro="" textlink="">
      <xdr:nvSpPr>
        <xdr:cNvPr id="22" name="Parallelogram 21">
          <a:hlinkClick xmlns:r="http://schemas.openxmlformats.org/officeDocument/2006/relationships" r:id="rId12"/>
          <a:extLst>
            <a:ext uri="{FF2B5EF4-FFF2-40B4-BE49-F238E27FC236}">
              <a16:creationId xmlns:a16="http://schemas.microsoft.com/office/drawing/2014/main" id="{E5C2DD4F-5FF2-4D7B-82FF-081706A57DCE}"/>
            </a:ext>
          </a:extLst>
        </xdr:cNvPr>
        <xdr:cNvSpPr/>
      </xdr:nvSpPr>
      <xdr:spPr>
        <a:xfrm>
          <a:off x="9986975" y="142875"/>
          <a:ext cx="2124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Couvert végétal inter-rang</a:t>
          </a:r>
        </a:p>
      </xdr:txBody>
    </xdr:sp>
    <xdr:clientData/>
  </xdr:twoCellAnchor>
  <xdr:twoCellAnchor>
    <xdr:from>
      <xdr:col>1</xdr:col>
      <xdr:colOff>324116</xdr:colOff>
      <xdr:row>365</xdr:row>
      <xdr:rowOff>6615</xdr:rowOff>
    </xdr:from>
    <xdr:to>
      <xdr:col>6</xdr:col>
      <xdr:colOff>318637</xdr:colOff>
      <xdr:row>367</xdr:row>
      <xdr:rowOff>19644</xdr:rowOff>
    </xdr:to>
    <xdr:sp macro="" textlink="">
      <xdr:nvSpPr>
        <xdr:cNvPr id="23" name="Parallelogram 22">
          <a:extLst>
            <a:ext uri="{FF2B5EF4-FFF2-40B4-BE49-F238E27FC236}">
              <a16:creationId xmlns:a16="http://schemas.microsoft.com/office/drawing/2014/main" id="{6AAE9419-A333-4052-ABCA-39A3B21BEF37}"/>
            </a:ext>
          </a:extLst>
        </xdr:cNvPr>
        <xdr:cNvSpPr/>
      </xdr:nvSpPr>
      <xdr:spPr>
        <a:xfrm>
          <a:off x="931335" y="70277303"/>
          <a:ext cx="3030615" cy="40593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18</xdr:col>
      <xdr:colOff>470963</xdr:colOff>
      <xdr:row>0</xdr:row>
      <xdr:rowOff>137587</xdr:rowOff>
    </xdr:from>
    <xdr:to>
      <xdr:col>21</xdr:col>
      <xdr:colOff>449306</xdr:colOff>
      <xdr:row>2</xdr:row>
      <xdr:rowOff>4987</xdr:rowOff>
    </xdr:to>
    <xdr:sp macro="" textlink="">
      <xdr:nvSpPr>
        <xdr:cNvPr id="24" name="Parallelogram 23">
          <a:hlinkClick xmlns:r="http://schemas.openxmlformats.org/officeDocument/2006/relationships" r:id="rId13"/>
          <a:extLst>
            <a:ext uri="{FF2B5EF4-FFF2-40B4-BE49-F238E27FC236}">
              <a16:creationId xmlns:a16="http://schemas.microsoft.com/office/drawing/2014/main" id="{725AE702-60C1-4762-94F6-F0FABA3ED9C8}"/>
            </a:ext>
          </a:extLst>
        </xdr:cNvPr>
        <xdr:cNvSpPr/>
      </xdr:nvSpPr>
      <xdr:spPr>
        <a:xfrm>
          <a:off x="12103369" y="137587"/>
          <a:ext cx="1800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Récapitulatif</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2</xdr:col>
      <xdr:colOff>228600</xdr:colOff>
      <xdr:row>4</xdr:row>
      <xdr:rowOff>69067</xdr:rowOff>
    </xdr:to>
    <xdr:pic>
      <xdr:nvPicPr>
        <xdr:cNvPr id="2" name="Image 1">
          <a:hlinkClick xmlns:r="http://schemas.openxmlformats.org/officeDocument/2006/relationships" r:id="rId1"/>
          <a:extLst>
            <a:ext uri="{FF2B5EF4-FFF2-40B4-BE49-F238E27FC236}">
              <a16:creationId xmlns:a16="http://schemas.microsoft.com/office/drawing/2014/main" id="{D5740301-9B64-44F8-A1C7-C2ECCAAFA4D1}"/>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twoCellAnchor>
    <xdr:from>
      <xdr:col>1</xdr:col>
      <xdr:colOff>207310</xdr:colOff>
      <xdr:row>6</xdr:row>
      <xdr:rowOff>38100</xdr:rowOff>
    </xdr:from>
    <xdr:to>
      <xdr:col>6</xdr:col>
      <xdr:colOff>245410</xdr:colOff>
      <xdr:row>7</xdr:row>
      <xdr:rowOff>172650</xdr:rowOff>
    </xdr:to>
    <xdr:sp macro="" textlink="">
      <xdr:nvSpPr>
        <xdr:cNvPr id="3" name="Parallelogram 2">
          <a:extLst>
            <a:ext uri="{FF2B5EF4-FFF2-40B4-BE49-F238E27FC236}">
              <a16:creationId xmlns:a16="http://schemas.microsoft.com/office/drawing/2014/main" id="{3699DA8B-C883-4016-AB95-98CA50478D54}"/>
            </a:ext>
          </a:extLst>
        </xdr:cNvPr>
        <xdr:cNvSpPr/>
      </xdr:nvSpPr>
      <xdr:spPr>
        <a:xfrm>
          <a:off x="812428" y="1181100"/>
          <a:ext cx="3063688" cy="3362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a:t>
          </a:r>
          <a:r>
            <a:rPr lang="fr-FR" sz="1100" baseline="0"/>
            <a:t> </a:t>
          </a:r>
          <a:r>
            <a:rPr lang="fr-FR" sz="1100"/>
            <a:t>Bilan azoté</a:t>
          </a:r>
        </a:p>
      </xdr:txBody>
    </xdr:sp>
    <xdr:clientData/>
  </xdr:twoCellAnchor>
  <xdr:twoCellAnchor>
    <xdr:from>
      <xdr:col>1</xdr:col>
      <xdr:colOff>285750</xdr:colOff>
      <xdr:row>81</xdr:row>
      <xdr:rowOff>25213</xdr:rowOff>
    </xdr:from>
    <xdr:to>
      <xdr:col>6</xdr:col>
      <xdr:colOff>323850</xdr:colOff>
      <xdr:row>82</xdr:row>
      <xdr:rowOff>169288</xdr:rowOff>
    </xdr:to>
    <xdr:sp macro="" textlink="">
      <xdr:nvSpPr>
        <xdr:cNvPr id="4" name="Parallelogram 3">
          <a:extLst>
            <a:ext uri="{FF2B5EF4-FFF2-40B4-BE49-F238E27FC236}">
              <a16:creationId xmlns:a16="http://schemas.microsoft.com/office/drawing/2014/main" id="{CCA751F9-FF8C-4E62-A924-49FB3EF6DD6F}"/>
            </a:ext>
          </a:extLst>
        </xdr:cNvPr>
        <xdr:cNvSpPr/>
      </xdr:nvSpPr>
      <xdr:spPr>
        <a:xfrm>
          <a:off x="890868" y="15500537"/>
          <a:ext cx="3063688" cy="34578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2. Quantité d'azote apportée</a:t>
          </a:r>
        </a:p>
      </xdr:txBody>
    </xdr:sp>
    <xdr:clientData/>
  </xdr:twoCellAnchor>
  <xdr:twoCellAnchor>
    <xdr:from>
      <xdr:col>1</xdr:col>
      <xdr:colOff>295275</xdr:colOff>
      <xdr:row>112</xdr:row>
      <xdr:rowOff>33057</xdr:rowOff>
    </xdr:from>
    <xdr:to>
      <xdr:col>6</xdr:col>
      <xdr:colOff>333375</xdr:colOff>
      <xdr:row>113</xdr:row>
      <xdr:rowOff>186657</xdr:rowOff>
    </xdr:to>
    <xdr:sp macro="" textlink="">
      <xdr:nvSpPr>
        <xdr:cNvPr id="5" name="Parallelogram 4">
          <a:extLst>
            <a:ext uri="{FF2B5EF4-FFF2-40B4-BE49-F238E27FC236}">
              <a16:creationId xmlns:a16="http://schemas.microsoft.com/office/drawing/2014/main" id="{1EAD6C31-F225-482B-8585-CB729A7B4B39}"/>
            </a:ext>
          </a:extLst>
        </xdr:cNvPr>
        <xdr:cNvSpPr/>
      </xdr:nvSpPr>
      <xdr:spPr>
        <a:xfrm>
          <a:off x="900393" y="21436292"/>
          <a:ext cx="3063688" cy="3553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3. Part de l'azote</a:t>
          </a:r>
          <a:r>
            <a:rPr lang="fr-FR" sz="1100" baseline="0"/>
            <a:t> organique apporté</a:t>
          </a:r>
          <a:endParaRPr lang="fr-FR" sz="1100"/>
        </a:p>
      </xdr:txBody>
    </xdr:sp>
    <xdr:clientData/>
  </xdr:twoCellAnchor>
  <xdr:twoCellAnchor>
    <xdr:from>
      <xdr:col>1</xdr:col>
      <xdr:colOff>342900</xdr:colOff>
      <xdr:row>134</xdr:row>
      <xdr:rowOff>25213</xdr:rowOff>
    </xdr:from>
    <xdr:to>
      <xdr:col>6</xdr:col>
      <xdr:colOff>381000</xdr:colOff>
      <xdr:row>135</xdr:row>
      <xdr:rowOff>188338</xdr:rowOff>
    </xdr:to>
    <xdr:sp macro="" textlink="">
      <xdr:nvSpPr>
        <xdr:cNvPr id="6" name="Parallelogram 5">
          <a:extLst>
            <a:ext uri="{FF2B5EF4-FFF2-40B4-BE49-F238E27FC236}">
              <a16:creationId xmlns:a16="http://schemas.microsoft.com/office/drawing/2014/main" id="{68C6C60D-7BBF-4D31-83E3-26ACB01443CB}"/>
            </a:ext>
          </a:extLst>
        </xdr:cNvPr>
        <xdr:cNvSpPr/>
      </xdr:nvSpPr>
      <xdr:spPr>
        <a:xfrm>
          <a:off x="948018" y="25641860"/>
          <a:ext cx="3063688" cy="3648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4. Utilisation d'OAD</a:t>
          </a:r>
        </a:p>
      </xdr:txBody>
    </xdr:sp>
    <xdr:clientData/>
  </xdr:twoCellAnchor>
  <xdr:twoCellAnchor>
    <xdr:from>
      <xdr:col>1</xdr:col>
      <xdr:colOff>381000</xdr:colOff>
      <xdr:row>199</xdr:row>
      <xdr:rowOff>12326</xdr:rowOff>
    </xdr:from>
    <xdr:to>
      <xdr:col>6</xdr:col>
      <xdr:colOff>419100</xdr:colOff>
      <xdr:row>200</xdr:row>
      <xdr:rowOff>184976</xdr:rowOff>
    </xdr:to>
    <xdr:sp macro="" textlink="">
      <xdr:nvSpPr>
        <xdr:cNvPr id="7" name="Parallelogram 6">
          <a:extLst>
            <a:ext uri="{FF2B5EF4-FFF2-40B4-BE49-F238E27FC236}">
              <a16:creationId xmlns:a16="http://schemas.microsoft.com/office/drawing/2014/main" id="{7FD18515-944C-44BB-995F-F44B4CF366C5}"/>
            </a:ext>
          </a:extLst>
        </xdr:cNvPr>
        <xdr:cNvSpPr/>
      </xdr:nvSpPr>
      <xdr:spPr>
        <a:xfrm>
          <a:off x="986118" y="38033885"/>
          <a:ext cx="3063688" cy="3743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5. Pourcentage de la SAU non</a:t>
          </a:r>
          <a:r>
            <a:rPr lang="fr-FR" sz="1100" baseline="0"/>
            <a:t> fertilisée</a:t>
          </a:r>
          <a:endParaRPr lang="fr-FR" sz="1100"/>
        </a:p>
      </xdr:txBody>
    </xdr:sp>
    <xdr:clientData/>
  </xdr:twoCellAnchor>
  <xdr:twoCellAnchor>
    <xdr:from>
      <xdr:col>1</xdr:col>
      <xdr:colOff>419100</xdr:colOff>
      <xdr:row>223</xdr:row>
      <xdr:rowOff>15688</xdr:rowOff>
    </xdr:from>
    <xdr:to>
      <xdr:col>6</xdr:col>
      <xdr:colOff>457200</xdr:colOff>
      <xdr:row>225</xdr:row>
      <xdr:rowOff>7363</xdr:rowOff>
    </xdr:to>
    <xdr:sp macro="" textlink="">
      <xdr:nvSpPr>
        <xdr:cNvPr id="8" name="Parallelogram 7">
          <a:extLst>
            <a:ext uri="{FF2B5EF4-FFF2-40B4-BE49-F238E27FC236}">
              <a16:creationId xmlns:a16="http://schemas.microsoft.com/office/drawing/2014/main" id="{7DAAE4FA-2983-4A42-9F0F-A7B61C8CB605}"/>
            </a:ext>
          </a:extLst>
        </xdr:cNvPr>
        <xdr:cNvSpPr/>
      </xdr:nvSpPr>
      <xdr:spPr>
        <a:xfrm>
          <a:off x="1024218" y="42631659"/>
          <a:ext cx="3063688" cy="38388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6. Part des légumineuses dans la SAU</a:t>
          </a:r>
        </a:p>
      </xdr:txBody>
    </xdr:sp>
    <xdr:clientData/>
  </xdr:twoCellAnchor>
  <xdr:twoCellAnchor>
    <xdr:from>
      <xdr:col>1</xdr:col>
      <xdr:colOff>361950</xdr:colOff>
      <xdr:row>250</xdr:row>
      <xdr:rowOff>10645</xdr:rowOff>
    </xdr:from>
    <xdr:to>
      <xdr:col>6</xdr:col>
      <xdr:colOff>400050</xdr:colOff>
      <xdr:row>252</xdr:row>
      <xdr:rowOff>11845</xdr:rowOff>
    </xdr:to>
    <xdr:sp macro="" textlink="">
      <xdr:nvSpPr>
        <xdr:cNvPr id="9" name="Parallelogram 8">
          <a:extLst>
            <a:ext uri="{FF2B5EF4-FFF2-40B4-BE49-F238E27FC236}">
              <a16:creationId xmlns:a16="http://schemas.microsoft.com/office/drawing/2014/main" id="{9BE1DFE7-28A1-44AC-BBE0-835BAF6FF753}"/>
            </a:ext>
          </a:extLst>
        </xdr:cNvPr>
        <xdr:cNvSpPr/>
      </xdr:nvSpPr>
      <xdr:spPr>
        <a:xfrm>
          <a:off x="967068" y="47792527"/>
          <a:ext cx="3063688" cy="3934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7. Couverture des sols</a:t>
          </a:r>
        </a:p>
      </xdr:txBody>
    </xdr:sp>
    <xdr:clientData/>
  </xdr:twoCellAnchor>
  <xdr:twoCellAnchor>
    <xdr:from>
      <xdr:col>1</xdr:col>
      <xdr:colOff>314323</xdr:colOff>
      <xdr:row>306</xdr:row>
      <xdr:rowOff>183776</xdr:rowOff>
    </xdr:from>
    <xdr:to>
      <xdr:col>9</xdr:col>
      <xdr:colOff>168087</xdr:colOff>
      <xdr:row>309</xdr:row>
      <xdr:rowOff>4001</xdr:rowOff>
    </xdr:to>
    <xdr:sp macro="" textlink="">
      <xdr:nvSpPr>
        <xdr:cNvPr id="10" name="Parallelogram 9">
          <a:extLst>
            <a:ext uri="{FF2B5EF4-FFF2-40B4-BE49-F238E27FC236}">
              <a16:creationId xmlns:a16="http://schemas.microsoft.com/office/drawing/2014/main" id="{8F600890-78F8-430E-B0BE-A1FF3EDDAB04}"/>
            </a:ext>
          </a:extLst>
        </xdr:cNvPr>
        <xdr:cNvSpPr/>
      </xdr:nvSpPr>
      <xdr:spPr>
        <a:xfrm>
          <a:off x="919441" y="56179570"/>
          <a:ext cx="4694705" cy="4029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8. Utilisation de matériels optimisant les apports de</a:t>
          </a:r>
          <a:r>
            <a:rPr lang="fr-FR" sz="1100" baseline="0"/>
            <a:t> fertilisants</a:t>
          </a:r>
          <a:endParaRPr lang="fr-FR" sz="1100"/>
        </a:p>
      </xdr:txBody>
    </xdr:sp>
    <xdr:clientData/>
  </xdr:twoCellAnchor>
  <xdr:twoCellAnchor>
    <xdr:from>
      <xdr:col>1</xdr:col>
      <xdr:colOff>266700</xdr:colOff>
      <xdr:row>332</xdr:row>
      <xdr:rowOff>1120</xdr:rowOff>
    </xdr:from>
    <xdr:to>
      <xdr:col>7</xdr:col>
      <xdr:colOff>403411</xdr:colOff>
      <xdr:row>334</xdr:row>
      <xdr:rowOff>21370</xdr:rowOff>
    </xdr:to>
    <xdr:sp macro="" textlink="">
      <xdr:nvSpPr>
        <xdr:cNvPr id="11" name="Parallelogram 10">
          <a:extLst>
            <a:ext uri="{FF2B5EF4-FFF2-40B4-BE49-F238E27FC236}">
              <a16:creationId xmlns:a16="http://schemas.microsoft.com/office/drawing/2014/main" id="{F3D12EF2-9E6B-4CEF-B1BE-EE8F6803CE1D}"/>
            </a:ext>
          </a:extLst>
        </xdr:cNvPr>
        <xdr:cNvSpPr/>
      </xdr:nvSpPr>
      <xdr:spPr>
        <a:xfrm>
          <a:off x="871818" y="60972326"/>
          <a:ext cx="3767417" cy="4124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9. Recyclage et traitement des eaux d'irrigation</a:t>
          </a:r>
        </a:p>
      </xdr:txBody>
    </xdr:sp>
    <xdr:clientData/>
  </xdr:twoCellAnchor>
  <xdr:twoCellAnchor>
    <xdr:from>
      <xdr:col>14</xdr:col>
      <xdr:colOff>416292</xdr:colOff>
      <xdr:row>0</xdr:row>
      <xdr:rowOff>160249</xdr:rowOff>
    </xdr:from>
    <xdr:to>
      <xdr:col>17</xdr:col>
      <xdr:colOff>178692</xdr:colOff>
      <xdr:row>2</xdr:row>
      <xdr:rowOff>27649</xdr:rowOff>
    </xdr:to>
    <xdr:sp macro="" textlink="">
      <xdr:nvSpPr>
        <xdr:cNvPr id="12" name="Parallelogram 11">
          <a:hlinkClick xmlns:r="http://schemas.openxmlformats.org/officeDocument/2006/relationships" r:id="rId3"/>
          <a:extLst>
            <a:ext uri="{FF2B5EF4-FFF2-40B4-BE49-F238E27FC236}">
              <a16:creationId xmlns:a16="http://schemas.microsoft.com/office/drawing/2014/main" id="{DAD3E73C-728F-49FF-8AAA-4A3DD42A81F1}"/>
            </a:ext>
          </a:extLst>
        </xdr:cNvPr>
        <xdr:cNvSpPr/>
      </xdr:nvSpPr>
      <xdr:spPr>
        <a:xfrm>
          <a:off x="8887939"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Recyclage</a:t>
          </a:r>
          <a:r>
            <a:rPr lang="fr-FR" sz="1100" b="1" baseline="0">
              <a:solidFill>
                <a:schemeClr val="accent1">
                  <a:lumMod val="50000"/>
                </a:schemeClr>
              </a:solidFill>
            </a:rPr>
            <a:t> eaux</a:t>
          </a:r>
          <a:endParaRPr lang="fr-FR" sz="1100" b="1">
            <a:solidFill>
              <a:schemeClr val="accent1">
                <a:lumMod val="50000"/>
              </a:schemeClr>
            </a:solidFill>
          </a:endParaRPr>
        </a:p>
      </xdr:txBody>
    </xdr:sp>
    <xdr:clientData/>
  </xdr:twoCellAnchor>
  <xdr:twoCellAnchor>
    <xdr:from>
      <xdr:col>11</xdr:col>
      <xdr:colOff>426519</xdr:colOff>
      <xdr:row>2</xdr:row>
      <xdr:rowOff>154081</xdr:rowOff>
    </xdr:from>
    <xdr:to>
      <xdr:col>14</xdr:col>
      <xdr:colOff>188919</xdr:colOff>
      <xdr:row>4</xdr:row>
      <xdr:rowOff>21481</xdr:rowOff>
    </xdr:to>
    <xdr:sp macro="" textlink="">
      <xdr:nvSpPr>
        <xdr:cNvPr id="13" name="Parallelogram 12">
          <a:hlinkClick xmlns:r="http://schemas.openxmlformats.org/officeDocument/2006/relationships" r:id="rId4"/>
          <a:extLst>
            <a:ext uri="{FF2B5EF4-FFF2-40B4-BE49-F238E27FC236}">
              <a16:creationId xmlns:a16="http://schemas.microsoft.com/office/drawing/2014/main" id="{F978C786-8533-4093-995C-175434712BDB}"/>
            </a:ext>
          </a:extLst>
        </xdr:cNvPr>
        <xdr:cNvSpPr/>
      </xdr:nvSpPr>
      <xdr:spPr>
        <a:xfrm>
          <a:off x="7082813"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Mat. fertilisants</a:t>
          </a:r>
        </a:p>
      </xdr:txBody>
    </xdr:sp>
    <xdr:clientData/>
  </xdr:twoCellAnchor>
  <xdr:twoCellAnchor>
    <xdr:from>
      <xdr:col>8</xdr:col>
      <xdr:colOff>436746</xdr:colOff>
      <xdr:row>0</xdr:row>
      <xdr:rowOff>160249</xdr:rowOff>
    </xdr:from>
    <xdr:to>
      <xdr:col>11</xdr:col>
      <xdr:colOff>199146</xdr:colOff>
      <xdr:row>2</xdr:row>
      <xdr:rowOff>27649</xdr:rowOff>
    </xdr:to>
    <xdr:sp macro="" textlink="">
      <xdr:nvSpPr>
        <xdr:cNvPr id="14" name="Parallelogram 13">
          <a:hlinkClick xmlns:r="http://schemas.openxmlformats.org/officeDocument/2006/relationships" r:id="rId5"/>
          <a:extLst>
            <a:ext uri="{FF2B5EF4-FFF2-40B4-BE49-F238E27FC236}">
              <a16:creationId xmlns:a16="http://schemas.microsoft.com/office/drawing/2014/main" id="{ECD6C292-06A0-4718-B685-EDF2E6B6CA17}"/>
            </a:ext>
          </a:extLst>
        </xdr:cNvPr>
        <xdr:cNvSpPr/>
      </xdr:nvSpPr>
      <xdr:spPr>
        <a:xfrm>
          <a:off x="5277687"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SAU</a:t>
          </a:r>
          <a:r>
            <a:rPr lang="fr-FR" sz="1100" b="1" baseline="0">
              <a:solidFill>
                <a:schemeClr val="accent1">
                  <a:lumMod val="50000"/>
                </a:schemeClr>
              </a:solidFill>
            </a:rPr>
            <a:t> non fertilisée</a:t>
          </a:r>
          <a:endParaRPr lang="fr-FR" sz="1100" b="1">
            <a:solidFill>
              <a:schemeClr val="accent1">
                <a:lumMod val="50000"/>
              </a:schemeClr>
            </a:solidFill>
          </a:endParaRPr>
        </a:p>
      </xdr:txBody>
    </xdr:sp>
    <xdr:clientData/>
  </xdr:twoCellAnchor>
  <xdr:twoCellAnchor>
    <xdr:from>
      <xdr:col>8</xdr:col>
      <xdr:colOff>436746</xdr:colOff>
      <xdr:row>2</xdr:row>
      <xdr:rowOff>154081</xdr:rowOff>
    </xdr:from>
    <xdr:to>
      <xdr:col>11</xdr:col>
      <xdr:colOff>199146</xdr:colOff>
      <xdr:row>4</xdr:row>
      <xdr:rowOff>21481</xdr:rowOff>
    </xdr:to>
    <xdr:sp macro="" textlink="">
      <xdr:nvSpPr>
        <xdr:cNvPr id="15" name="Parallelogram 14">
          <a:hlinkClick xmlns:r="http://schemas.openxmlformats.org/officeDocument/2006/relationships" r:id="rId6"/>
          <a:extLst>
            <a:ext uri="{FF2B5EF4-FFF2-40B4-BE49-F238E27FC236}">
              <a16:creationId xmlns:a16="http://schemas.microsoft.com/office/drawing/2014/main" id="{58F2FF68-AFBB-4709-9CBE-001BCE73F5CD}"/>
            </a:ext>
          </a:extLst>
        </xdr:cNvPr>
        <xdr:cNvSpPr/>
      </xdr:nvSpPr>
      <xdr:spPr>
        <a:xfrm>
          <a:off x="5277687"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Légumineuses</a:t>
          </a:r>
        </a:p>
      </xdr:txBody>
    </xdr:sp>
    <xdr:clientData/>
  </xdr:twoCellAnchor>
  <xdr:twoCellAnchor>
    <xdr:from>
      <xdr:col>11</xdr:col>
      <xdr:colOff>426519</xdr:colOff>
      <xdr:row>0</xdr:row>
      <xdr:rowOff>160249</xdr:rowOff>
    </xdr:from>
    <xdr:to>
      <xdr:col>14</xdr:col>
      <xdr:colOff>188919</xdr:colOff>
      <xdr:row>2</xdr:row>
      <xdr:rowOff>27649</xdr:rowOff>
    </xdr:to>
    <xdr:sp macro="" textlink="">
      <xdr:nvSpPr>
        <xdr:cNvPr id="16" name="Parallelogram 15">
          <a:hlinkClick xmlns:r="http://schemas.openxmlformats.org/officeDocument/2006/relationships" r:id="rId7"/>
          <a:extLst>
            <a:ext uri="{FF2B5EF4-FFF2-40B4-BE49-F238E27FC236}">
              <a16:creationId xmlns:a16="http://schemas.microsoft.com/office/drawing/2014/main" id="{51496A45-533F-48D3-BEDF-F866F1CA330D}"/>
            </a:ext>
          </a:extLst>
        </xdr:cNvPr>
        <xdr:cNvSpPr/>
      </xdr:nvSpPr>
      <xdr:spPr>
        <a:xfrm>
          <a:off x="7082813"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Couverture</a:t>
          </a:r>
        </a:p>
      </xdr:txBody>
    </xdr:sp>
    <xdr:clientData/>
  </xdr:twoCellAnchor>
  <xdr:twoCellAnchor>
    <xdr:from>
      <xdr:col>2</xdr:col>
      <xdr:colOff>457200</xdr:colOff>
      <xdr:row>2</xdr:row>
      <xdr:rowOff>154081</xdr:rowOff>
    </xdr:from>
    <xdr:to>
      <xdr:col>5</xdr:col>
      <xdr:colOff>219600</xdr:colOff>
      <xdr:row>4</xdr:row>
      <xdr:rowOff>21481</xdr:rowOff>
    </xdr:to>
    <xdr:sp macro="" textlink="">
      <xdr:nvSpPr>
        <xdr:cNvPr id="17" name="Parallelogram 16">
          <a:hlinkClick xmlns:r="http://schemas.openxmlformats.org/officeDocument/2006/relationships" r:id="rId8"/>
          <a:extLst>
            <a:ext uri="{FF2B5EF4-FFF2-40B4-BE49-F238E27FC236}">
              <a16:creationId xmlns:a16="http://schemas.microsoft.com/office/drawing/2014/main" id="{87B53711-3F2E-47F4-A44F-7DB46EEDB483}"/>
            </a:ext>
          </a:extLst>
        </xdr:cNvPr>
        <xdr:cNvSpPr/>
      </xdr:nvSpPr>
      <xdr:spPr>
        <a:xfrm>
          <a:off x="1667435"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Qté apportée</a:t>
          </a:r>
        </a:p>
      </xdr:txBody>
    </xdr:sp>
    <xdr:clientData/>
  </xdr:twoCellAnchor>
  <xdr:twoCellAnchor>
    <xdr:from>
      <xdr:col>5</xdr:col>
      <xdr:colOff>446973</xdr:colOff>
      <xdr:row>0</xdr:row>
      <xdr:rowOff>160249</xdr:rowOff>
    </xdr:from>
    <xdr:to>
      <xdr:col>8</xdr:col>
      <xdr:colOff>209373</xdr:colOff>
      <xdr:row>2</xdr:row>
      <xdr:rowOff>27649</xdr:rowOff>
    </xdr:to>
    <xdr:sp macro="" textlink="">
      <xdr:nvSpPr>
        <xdr:cNvPr id="18" name="Parallelogram 17">
          <a:hlinkClick xmlns:r="http://schemas.openxmlformats.org/officeDocument/2006/relationships" r:id="rId9"/>
          <a:extLst>
            <a:ext uri="{FF2B5EF4-FFF2-40B4-BE49-F238E27FC236}">
              <a16:creationId xmlns:a16="http://schemas.microsoft.com/office/drawing/2014/main" id="{DB04AD19-D8F9-4974-92CE-94C613A67176}"/>
            </a:ext>
          </a:extLst>
        </xdr:cNvPr>
        <xdr:cNvSpPr/>
      </xdr:nvSpPr>
      <xdr:spPr>
        <a:xfrm>
          <a:off x="3472561"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Azote organique</a:t>
          </a:r>
        </a:p>
      </xdr:txBody>
    </xdr:sp>
    <xdr:clientData/>
  </xdr:twoCellAnchor>
  <xdr:twoCellAnchor>
    <xdr:from>
      <xdr:col>5</xdr:col>
      <xdr:colOff>446973</xdr:colOff>
      <xdr:row>2</xdr:row>
      <xdr:rowOff>154081</xdr:rowOff>
    </xdr:from>
    <xdr:to>
      <xdr:col>8</xdr:col>
      <xdr:colOff>209373</xdr:colOff>
      <xdr:row>4</xdr:row>
      <xdr:rowOff>21481</xdr:rowOff>
    </xdr:to>
    <xdr:sp macro="" textlink="">
      <xdr:nvSpPr>
        <xdr:cNvPr id="19" name="Parallelogram 18">
          <a:hlinkClick xmlns:r="http://schemas.openxmlformats.org/officeDocument/2006/relationships" r:id="rId10"/>
          <a:extLst>
            <a:ext uri="{FF2B5EF4-FFF2-40B4-BE49-F238E27FC236}">
              <a16:creationId xmlns:a16="http://schemas.microsoft.com/office/drawing/2014/main" id="{6B5B0691-B004-4C81-82FC-0BC104A5D98E}"/>
            </a:ext>
          </a:extLst>
        </xdr:cNvPr>
        <xdr:cNvSpPr/>
      </xdr:nvSpPr>
      <xdr:spPr>
        <a:xfrm>
          <a:off x="3472561"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OAD</a:t>
          </a:r>
        </a:p>
      </xdr:txBody>
    </xdr:sp>
    <xdr:clientData/>
  </xdr:twoCellAnchor>
  <xdr:twoCellAnchor>
    <xdr:from>
      <xdr:col>2</xdr:col>
      <xdr:colOff>457200</xdr:colOff>
      <xdr:row>0</xdr:row>
      <xdr:rowOff>160249</xdr:rowOff>
    </xdr:from>
    <xdr:to>
      <xdr:col>5</xdr:col>
      <xdr:colOff>219600</xdr:colOff>
      <xdr:row>2</xdr:row>
      <xdr:rowOff>27649</xdr:rowOff>
    </xdr:to>
    <xdr:sp macro="" textlink="">
      <xdr:nvSpPr>
        <xdr:cNvPr id="20" name="Parallelogram 19">
          <a:hlinkClick xmlns:r="http://schemas.openxmlformats.org/officeDocument/2006/relationships" r:id="rId11"/>
          <a:extLst>
            <a:ext uri="{FF2B5EF4-FFF2-40B4-BE49-F238E27FC236}">
              <a16:creationId xmlns:a16="http://schemas.microsoft.com/office/drawing/2014/main" id="{B6BF2CAD-A99C-480A-87CB-629B8082908C}"/>
            </a:ext>
          </a:extLst>
        </xdr:cNvPr>
        <xdr:cNvSpPr/>
      </xdr:nvSpPr>
      <xdr:spPr>
        <a:xfrm>
          <a:off x="1667435"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Bilan azoté</a:t>
          </a:r>
        </a:p>
      </xdr:txBody>
    </xdr:sp>
    <xdr:clientData/>
  </xdr:twoCellAnchor>
  <xdr:twoCellAnchor>
    <xdr:from>
      <xdr:col>1</xdr:col>
      <xdr:colOff>359834</xdr:colOff>
      <xdr:row>360</xdr:row>
      <xdr:rowOff>8715</xdr:rowOff>
    </xdr:from>
    <xdr:to>
      <xdr:col>6</xdr:col>
      <xdr:colOff>354355</xdr:colOff>
      <xdr:row>362</xdr:row>
      <xdr:rowOff>21744</xdr:rowOff>
    </xdr:to>
    <xdr:sp macro="" textlink="">
      <xdr:nvSpPr>
        <xdr:cNvPr id="21" name="Parallelogram 20">
          <a:extLst>
            <a:ext uri="{FF2B5EF4-FFF2-40B4-BE49-F238E27FC236}">
              <a16:creationId xmlns:a16="http://schemas.microsoft.com/office/drawing/2014/main" id="{0F8B2BBB-0C45-4D1E-92E9-5A2F6A9DA048}"/>
            </a:ext>
          </a:extLst>
        </xdr:cNvPr>
        <xdr:cNvSpPr/>
      </xdr:nvSpPr>
      <xdr:spPr>
        <a:xfrm>
          <a:off x="964952" y="66336333"/>
          <a:ext cx="3020109" cy="40523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14</xdr:col>
      <xdr:colOff>416292</xdr:colOff>
      <xdr:row>2</xdr:row>
      <xdr:rowOff>154081</xdr:rowOff>
    </xdr:from>
    <xdr:to>
      <xdr:col>17</xdr:col>
      <xdr:colOff>178692</xdr:colOff>
      <xdr:row>4</xdr:row>
      <xdr:rowOff>21481</xdr:rowOff>
    </xdr:to>
    <xdr:sp macro="" textlink="">
      <xdr:nvSpPr>
        <xdr:cNvPr id="22" name="Parallelogram 21">
          <a:hlinkClick xmlns:r="http://schemas.openxmlformats.org/officeDocument/2006/relationships" r:id="rId12"/>
          <a:extLst>
            <a:ext uri="{FF2B5EF4-FFF2-40B4-BE49-F238E27FC236}">
              <a16:creationId xmlns:a16="http://schemas.microsoft.com/office/drawing/2014/main" id="{A862DB17-F167-448E-AD6D-880DAFF31CEF}"/>
            </a:ext>
          </a:extLst>
        </xdr:cNvPr>
        <xdr:cNvSpPr/>
      </xdr:nvSpPr>
      <xdr:spPr>
        <a:xfrm>
          <a:off x="8887939"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Récapitulatif</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2</xdr:col>
      <xdr:colOff>228600</xdr:colOff>
      <xdr:row>4</xdr:row>
      <xdr:rowOff>69067</xdr:rowOff>
    </xdr:to>
    <xdr:pic>
      <xdr:nvPicPr>
        <xdr:cNvPr id="2" name="Image 1">
          <a:hlinkClick xmlns:r="http://schemas.openxmlformats.org/officeDocument/2006/relationships" r:id="rId1"/>
          <a:extLst>
            <a:ext uri="{FF2B5EF4-FFF2-40B4-BE49-F238E27FC236}">
              <a16:creationId xmlns:a16="http://schemas.microsoft.com/office/drawing/2014/main" id="{4B38FE61-46DF-4A05-B4C9-7C456FCE3A5D}"/>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twoCellAnchor>
    <xdr:from>
      <xdr:col>1</xdr:col>
      <xdr:colOff>243729</xdr:colOff>
      <xdr:row>6</xdr:row>
      <xdr:rowOff>31376</xdr:rowOff>
    </xdr:from>
    <xdr:to>
      <xdr:col>6</xdr:col>
      <xdr:colOff>281829</xdr:colOff>
      <xdr:row>7</xdr:row>
      <xdr:rowOff>165926</xdr:rowOff>
    </xdr:to>
    <xdr:sp macro="" textlink="">
      <xdr:nvSpPr>
        <xdr:cNvPr id="3" name="Parallelogram 2">
          <a:extLst>
            <a:ext uri="{FF2B5EF4-FFF2-40B4-BE49-F238E27FC236}">
              <a16:creationId xmlns:a16="http://schemas.microsoft.com/office/drawing/2014/main" id="{7E9FC28F-4FA6-47B9-BAA7-8DCE990B0BEE}"/>
            </a:ext>
          </a:extLst>
        </xdr:cNvPr>
        <xdr:cNvSpPr/>
      </xdr:nvSpPr>
      <xdr:spPr>
        <a:xfrm>
          <a:off x="848847" y="1174376"/>
          <a:ext cx="3063688" cy="3362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 Informations préalables</a:t>
          </a:r>
          <a:endParaRPr lang="fr-FR" sz="1100"/>
        </a:p>
      </xdr:txBody>
    </xdr:sp>
    <xdr:clientData/>
  </xdr:twoCellAnchor>
  <xdr:twoCellAnchor>
    <xdr:from>
      <xdr:col>1</xdr:col>
      <xdr:colOff>276224</xdr:colOff>
      <xdr:row>18</xdr:row>
      <xdr:rowOff>36419</xdr:rowOff>
    </xdr:from>
    <xdr:to>
      <xdr:col>7</xdr:col>
      <xdr:colOff>304799</xdr:colOff>
      <xdr:row>19</xdr:row>
      <xdr:rowOff>180494</xdr:rowOff>
    </xdr:to>
    <xdr:sp macro="" textlink="">
      <xdr:nvSpPr>
        <xdr:cNvPr id="4" name="Parallelogram 3">
          <a:extLst>
            <a:ext uri="{FF2B5EF4-FFF2-40B4-BE49-F238E27FC236}">
              <a16:creationId xmlns:a16="http://schemas.microsoft.com/office/drawing/2014/main" id="{5FFC1385-73B4-4DE9-8029-27E7642FCB00}"/>
            </a:ext>
          </a:extLst>
        </xdr:cNvPr>
        <xdr:cNvSpPr/>
      </xdr:nvSpPr>
      <xdr:spPr>
        <a:xfrm>
          <a:off x="881342" y="3487831"/>
          <a:ext cx="3659281" cy="3457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 1. Enregistrement des pratiques d'irrigation</a:t>
          </a:r>
          <a:endParaRPr lang="fr-FR" sz="1100"/>
        </a:p>
      </xdr:txBody>
    </xdr:sp>
    <xdr:clientData/>
  </xdr:twoCellAnchor>
  <xdr:twoCellAnchor>
    <xdr:from>
      <xdr:col>1</xdr:col>
      <xdr:colOff>285750</xdr:colOff>
      <xdr:row>68</xdr:row>
      <xdr:rowOff>21851</xdr:rowOff>
    </xdr:from>
    <xdr:to>
      <xdr:col>10</xdr:col>
      <xdr:colOff>414618</xdr:colOff>
      <xdr:row>69</xdr:row>
      <xdr:rowOff>175451</xdr:rowOff>
    </xdr:to>
    <xdr:sp macro="" textlink="">
      <xdr:nvSpPr>
        <xdr:cNvPr id="5" name="Parallelogram 4">
          <a:extLst>
            <a:ext uri="{FF2B5EF4-FFF2-40B4-BE49-F238E27FC236}">
              <a16:creationId xmlns:a16="http://schemas.microsoft.com/office/drawing/2014/main" id="{68B01717-89D3-4DD8-99B2-77BF5DE38DBA}"/>
            </a:ext>
          </a:extLst>
        </xdr:cNvPr>
        <xdr:cNvSpPr/>
      </xdr:nvSpPr>
      <xdr:spPr>
        <a:xfrm>
          <a:off x="890868" y="13020675"/>
          <a:ext cx="5574926" cy="35530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 2. Utilisation d'outils de mesure fournissant des données pour la décision</a:t>
          </a:r>
          <a:endParaRPr lang="fr-FR" sz="1100"/>
        </a:p>
      </xdr:txBody>
    </xdr:sp>
    <xdr:clientData/>
  </xdr:twoCellAnchor>
  <xdr:twoCellAnchor>
    <xdr:from>
      <xdr:col>1</xdr:col>
      <xdr:colOff>314324</xdr:colOff>
      <xdr:row>104</xdr:row>
      <xdr:rowOff>23532</xdr:rowOff>
    </xdr:from>
    <xdr:to>
      <xdr:col>8</xdr:col>
      <xdr:colOff>280146</xdr:colOff>
      <xdr:row>105</xdr:row>
      <xdr:rowOff>186657</xdr:rowOff>
    </xdr:to>
    <xdr:sp macro="" textlink="">
      <xdr:nvSpPr>
        <xdr:cNvPr id="6" name="Parallelogram 5">
          <a:extLst>
            <a:ext uri="{FF2B5EF4-FFF2-40B4-BE49-F238E27FC236}">
              <a16:creationId xmlns:a16="http://schemas.microsoft.com/office/drawing/2014/main" id="{1BCA3829-38D6-43F7-9818-6C98C1B9E0B9}"/>
            </a:ext>
          </a:extLst>
        </xdr:cNvPr>
        <xdr:cNvSpPr/>
      </xdr:nvSpPr>
      <xdr:spPr>
        <a:xfrm>
          <a:off x="919442" y="19902767"/>
          <a:ext cx="4201645" cy="3648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3. Utilisation de matériels optimisant les apports d'eau</a:t>
          </a:r>
          <a:endParaRPr lang="fr-FR" sz="1100"/>
        </a:p>
      </xdr:txBody>
    </xdr:sp>
    <xdr:clientData/>
  </xdr:twoCellAnchor>
  <xdr:twoCellAnchor>
    <xdr:from>
      <xdr:col>1</xdr:col>
      <xdr:colOff>238126</xdr:colOff>
      <xdr:row>128</xdr:row>
      <xdr:rowOff>20170</xdr:rowOff>
    </xdr:from>
    <xdr:to>
      <xdr:col>6</xdr:col>
      <xdr:colOff>542926</xdr:colOff>
      <xdr:row>130</xdr:row>
      <xdr:rowOff>2320</xdr:rowOff>
    </xdr:to>
    <xdr:sp macro="" textlink="">
      <xdr:nvSpPr>
        <xdr:cNvPr id="7" name="Parallelogram 6">
          <a:extLst>
            <a:ext uri="{FF2B5EF4-FFF2-40B4-BE49-F238E27FC236}">
              <a16:creationId xmlns:a16="http://schemas.microsoft.com/office/drawing/2014/main" id="{8F099CBA-771B-4587-8C15-1D043AFCCFBB}"/>
            </a:ext>
          </a:extLst>
        </xdr:cNvPr>
        <xdr:cNvSpPr/>
      </xdr:nvSpPr>
      <xdr:spPr>
        <a:xfrm>
          <a:off x="843244" y="24493817"/>
          <a:ext cx="3330388" cy="3743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4. Adhésion à une démarche collective</a:t>
          </a:r>
          <a:endParaRPr lang="fr-FR" sz="1100"/>
        </a:p>
      </xdr:txBody>
    </xdr:sp>
    <xdr:clientData/>
  </xdr:twoCellAnchor>
  <xdr:twoCellAnchor>
    <xdr:from>
      <xdr:col>1</xdr:col>
      <xdr:colOff>257175</xdr:colOff>
      <xdr:row>143</xdr:row>
      <xdr:rowOff>19050</xdr:rowOff>
    </xdr:from>
    <xdr:to>
      <xdr:col>9</xdr:col>
      <xdr:colOff>447675</xdr:colOff>
      <xdr:row>145</xdr:row>
      <xdr:rowOff>10725</xdr:rowOff>
    </xdr:to>
    <xdr:sp macro="" textlink="">
      <xdr:nvSpPr>
        <xdr:cNvPr id="8" name="Parallelogram 7">
          <a:extLst>
            <a:ext uri="{FF2B5EF4-FFF2-40B4-BE49-F238E27FC236}">
              <a16:creationId xmlns:a16="http://schemas.microsoft.com/office/drawing/2014/main" id="{A569A6E1-DA74-420F-B62D-1CC0DACC96C8}"/>
            </a:ext>
          </a:extLst>
        </xdr:cNvPr>
        <xdr:cNvSpPr/>
      </xdr:nvSpPr>
      <xdr:spPr>
        <a:xfrm>
          <a:off x="862293" y="22991109"/>
          <a:ext cx="5031441" cy="3838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5. Pratiques agronomiques mises en oeuvre pour économiser l'eau</a:t>
          </a:r>
          <a:endParaRPr lang="fr-FR" sz="1100"/>
        </a:p>
      </xdr:txBody>
    </xdr:sp>
    <xdr:clientData/>
  </xdr:twoCellAnchor>
  <xdr:twoCellAnchor>
    <xdr:from>
      <xdr:col>1</xdr:col>
      <xdr:colOff>361950</xdr:colOff>
      <xdr:row>165</xdr:row>
      <xdr:rowOff>7283</xdr:rowOff>
    </xdr:from>
    <xdr:to>
      <xdr:col>7</xdr:col>
      <xdr:colOff>361950</xdr:colOff>
      <xdr:row>167</xdr:row>
      <xdr:rowOff>8483</xdr:rowOff>
    </xdr:to>
    <xdr:sp macro="" textlink="">
      <xdr:nvSpPr>
        <xdr:cNvPr id="9" name="Parallelogram 8">
          <a:extLst>
            <a:ext uri="{FF2B5EF4-FFF2-40B4-BE49-F238E27FC236}">
              <a16:creationId xmlns:a16="http://schemas.microsoft.com/office/drawing/2014/main" id="{0BABC336-33D3-46BF-9ECB-DB1F19762670}"/>
            </a:ext>
          </a:extLst>
        </xdr:cNvPr>
        <xdr:cNvSpPr/>
      </xdr:nvSpPr>
      <xdr:spPr>
        <a:xfrm>
          <a:off x="967068" y="31574254"/>
          <a:ext cx="3630706" cy="39340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6. Part des prélèvements en période d'étiage</a:t>
          </a:r>
          <a:endParaRPr lang="fr-FR" sz="1100"/>
        </a:p>
      </xdr:txBody>
    </xdr:sp>
    <xdr:clientData/>
  </xdr:twoCellAnchor>
  <xdr:twoCellAnchor>
    <xdr:from>
      <xdr:col>1</xdr:col>
      <xdr:colOff>247650</xdr:colOff>
      <xdr:row>196</xdr:row>
      <xdr:rowOff>19050</xdr:rowOff>
    </xdr:from>
    <xdr:to>
      <xdr:col>7</xdr:col>
      <xdr:colOff>247650</xdr:colOff>
      <xdr:row>198</xdr:row>
      <xdr:rowOff>29775</xdr:rowOff>
    </xdr:to>
    <xdr:sp macro="" textlink="">
      <xdr:nvSpPr>
        <xdr:cNvPr id="10" name="Parallelogram 9">
          <a:extLst>
            <a:ext uri="{FF2B5EF4-FFF2-40B4-BE49-F238E27FC236}">
              <a16:creationId xmlns:a16="http://schemas.microsoft.com/office/drawing/2014/main" id="{D52ECD02-82B3-4086-AB92-50B53112EC5D}"/>
            </a:ext>
          </a:extLst>
        </xdr:cNvPr>
        <xdr:cNvSpPr/>
      </xdr:nvSpPr>
      <xdr:spPr>
        <a:xfrm>
          <a:off x="852768" y="31608432"/>
          <a:ext cx="3630706" cy="4029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7. Recyclage et traitement des eaux d'irrigation</a:t>
          </a:r>
          <a:endParaRPr lang="fr-FR" sz="1100"/>
        </a:p>
      </xdr:txBody>
    </xdr:sp>
    <xdr:clientData/>
  </xdr:twoCellAnchor>
  <xdr:twoCellAnchor>
    <xdr:from>
      <xdr:col>1</xdr:col>
      <xdr:colOff>333375</xdr:colOff>
      <xdr:row>224</xdr:row>
      <xdr:rowOff>189939</xdr:rowOff>
    </xdr:from>
    <xdr:to>
      <xdr:col>7</xdr:col>
      <xdr:colOff>38100</xdr:colOff>
      <xdr:row>227</xdr:row>
      <xdr:rowOff>19689</xdr:rowOff>
    </xdr:to>
    <xdr:sp macro="" textlink="">
      <xdr:nvSpPr>
        <xdr:cNvPr id="11" name="Parallelogram 10">
          <a:extLst>
            <a:ext uri="{FF2B5EF4-FFF2-40B4-BE49-F238E27FC236}">
              <a16:creationId xmlns:a16="http://schemas.microsoft.com/office/drawing/2014/main" id="{D209CC31-0307-4A7A-B921-C25EAFE29FCE}"/>
            </a:ext>
          </a:extLst>
        </xdr:cNvPr>
        <xdr:cNvSpPr/>
      </xdr:nvSpPr>
      <xdr:spPr>
        <a:xfrm>
          <a:off x="938493" y="43041233"/>
          <a:ext cx="3335431" cy="4124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8. Récupération des eaux de pluie</a:t>
          </a:r>
          <a:endParaRPr lang="fr-FR" sz="1100"/>
        </a:p>
      </xdr:txBody>
    </xdr:sp>
    <xdr:clientData/>
  </xdr:twoCellAnchor>
  <xdr:twoCellAnchor>
    <xdr:from>
      <xdr:col>2</xdr:col>
      <xdr:colOff>581024</xdr:colOff>
      <xdr:row>0</xdr:row>
      <xdr:rowOff>133350</xdr:rowOff>
    </xdr:from>
    <xdr:to>
      <xdr:col>5</xdr:col>
      <xdr:colOff>565671</xdr:colOff>
      <xdr:row>2</xdr:row>
      <xdr:rowOff>750</xdr:rowOff>
    </xdr:to>
    <xdr:sp macro="" textlink="">
      <xdr:nvSpPr>
        <xdr:cNvPr id="12" name="Parallelogram 11">
          <a:hlinkClick xmlns:r="http://schemas.openxmlformats.org/officeDocument/2006/relationships" r:id="rId3"/>
          <a:extLst>
            <a:ext uri="{FF2B5EF4-FFF2-40B4-BE49-F238E27FC236}">
              <a16:creationId xmlns:a16="http://schemas.microsoft.com/office/drawing/2014/main" id="{16230893-9DBD-4319-888C-99FC5E95F08D}"/>
            </a:ext>
          </a:extLst>
        </xdr:cNvPr>
        <xdr:cNvSpPr/>
      </xdr:nvSpPr>
      <xdr:spPr>
        <a:xfrm>
          <a:off x="1791259" y="133350"/>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 Enregistrement</a:t>
          </a:r>
          <a:endParaRPr lang="fr-FR" sz="1100" b="1">
            <a:solidFill>
              <a:schemeClr val="accent1">
                <a:lumMod val="50000"/>
              </a:schemeClr>
            </a:solidFill>
          </a:endParaRPr>
        </a:p>
      </xdr:txBody>
    </xdr:sp>
    <xdr:clientData/>
  </xdr:twoCellAnchor>
  <xdr:twoCellAnchor>
    <xdr:from>
      <xdr:col>2</xdr:col>
      <xdr:colOff>581024</xdr:colOff>
      <xdr:row>2</xdr:row>
      <xdr:rowOff>142875</xdr:rowOff>
    </xdr:from>
    <xdr:to>
      <xdr:col>5</xdr:col>
      <xdr:colOff>565671</xdr:colOff>
      <xdr:row>4</xdr:row>
      <xdr:rowOff>10275</xdr:rowOff>
    </xdr:to>
    <xdr:sp macro="" textlink="">
      <xdr:nvSpPr>
        <xdr:cNvPr id="13" name="Parallelogram 12">
          <a:hlinkClick xmlns:r="http://schemas.openxmlformats.org/officeDocument/2006/relationships" r:id="rId4"/>
          <a:extLst>
            <a:ext uri="{FF2B5EF4-FFF2-40B4-BE49-F238E27FC236}">
              <a16:creationId xmlns:a16="http://schemas.microsoft.com/office/drawing/2014/main" id="{1D0561DD-5DF3-4520-A678-0C8C187BEB4E}"/>
            </a:ext>
          </a:extLst>
        </xdr:cNvPr>
        <xdr:cNvSpPr/>
      </xdr:nvSpPr>
      <xdr:spPr>
        <a:xfrm>
          <a:off x="1791259" y="523875"/>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Outils de mesure</a:t>
          </a:r>
          <a:endParaRPr lang="fr-FR" sz="1100" b="1">
            <a:solidFill>
              <a:schemeClr val="accent1">
                <a:lumMod val="50000"/>
              </a:schemeClr>
            </a:solidFill>
          </a:endParaRPr>
        </a:p>
      </xdr:txBody>
    </xdr:sp>
    <xdr:clientData/>
  </xdr:twoCellAnchor>
  <xdr:twoCellAnchor>
    <xdr:from>
      <xdr:col>6</xdr:col>
      <xdr:colOff>371</xdr:colOff>
      <xdr:row>0</xdr:row>
      <xdr:rowOff>133350</xdr:rowOff>
    </xdr:from>
    <xdr:to>
      <xdr:col>8</xdr:col>
      <xdr:colOff>590136</xdr:colOff>
      <xdr:row>2</xdr:row>
      <xdr:rowOff>750</xdr:rowOff>
    </xdr:to>
    <xdr:sp macro="" textlink="">
      <xdr:nvSpPr>
        <xdr:cNvPr id="14" name="Parallelogram 13">
          <a:hlinkClick xmlns:r="http://schemas.openxmlformats.org/officeDocument/2006/relationships" r:id="rId5"/>
          <a:extLst>
            <a:ext uri="{FF2B5EF4-FFF2-40B4-BE49-F238E27FC236}">
              <a16:creationId xmlns:a16="http://schemas.microsoft.com/office/drawing/2014/main" id="{9958DE18-818D-4183-B177-B9B186C9506D}"/>
            </a:ext>
          </a:extLst>
        </xdr:cNvPr>
        <xdr:cNvSpPr/>
      </xdr:nvSpPr>
      <xdr:spPr>
        <a:xfrm>
          <a:off x="3631077" y="133350"/>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Optimisation apports</a:t>
          </a:r>
          <a:endParaRPr lang="fr-FR" sz="1100" b="1">
            <a:solidFill>
              <a:schemeClr val="accent1">
                <a:lumMod val="50000"/>
              </a:schemeClr>
            </a:solidFill>
          </a:endParaRPr>
        </a:p>
      </xdr:txBody>
    </xdr:sp>
    <xdr:clientData/>
  </xdr:twoCellAnchor>
  <xdr:twoCellAnchor>
    <xdr:from>
      <xdr:col>6</xdr:col>
      <xdr:colOff>371</xdr:colOff>
      <xdr:row>2</xdr:row>
      <xdr:rowOff>142875</xdr:rowOff>
    </xdr:from>
    <xdr:to>
      <xdr:col>8</xdr:col>
      <xdr:colOff>590136</xdr:colOff>
      <xdr:row>4</xdr:row>
      <xdr:rowOff>10275</xdr:rowOff>
    </xdr:to>
    <xdr:sp macro="" textlink="">
      <xdr:nvSpPr>
        <xdr:cNvPr id="15" name="Parallelogram 14">
          <a:hlinkClick xmlns:r="http://schemas.openxmlformats.org/officeDocument/2006/relationships" r:id="rId6"/>
          <a:extLst>
            <a:ext uri="{FF2B5EF4-FFF2-40B4-BE49-F238E27FC236}">
              <a16:creationId xmlns:a16="http://schemas.microsoft.com/office/drawing/2014/main" id="{0AD78AAD-D412-4737-B4E7-C21F75F87787}"/>
            </a:ext>
          </a:extLst>
        </xdr:cNvPr>
        <xdr:cNvSpPr/>
      </xdr:nvSpPr>
      <xdr:spPr>
        <a:xfrm>
          <a:off x="3631077" y="523875"/>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Démarche collective</a:t>
          </a:r>
          <a:endParaRPr lang="fr-FR" sz="1100" b="1">
            <a:solidFill>
              <a:schemeClr val="accent1">
                <a:lumMod val="50000"/>
              </a:schemeClr>
            </a:solidFill>
          </a:endParaRPr>
        </a:p>
      </xdr:txBody>
    </xdr:sp>
    <xdr:clientData/>
  </xdr:twoCellAnchor>
  <xdr:twoCellAnchor>
    <xdr:from>
      <xdr:col>9</xdr:col>
      <xdr:colOff>24836</xdr:colOff>
      <xdr:row>0</xdr:row>
      <xdr:rowOff>133350</xdr:rowOff>
    </xdr:from>
    <xdr:to>
      <xdr:col>12</xdr:col>
      <xdr:colOff>225483</xdr:colOff>
      <xdr:row>2</xdr:row>
      <xdr:rowOff>750</xdr:rowOff>
    </xdr:to>
    <xdr:sp macro="" textlink="">
      <xdr:nvSpPr>
        <xdr:cNvPr id="16" name="Parallelogram 15">
          <a:hlinkClick xmlns:r="http://schemas.openxmlformats.org/officeDocument/2006/relationships" r:id="rId7"/>
          <a:extLst>
            <a:ext uri="{FF2B5EF4-FFF2-40B4-BE49-F238E27FC236}">
              <a16:creationId xmlns:a16="http://schemas.microsoft.com/office/drawing/2014/main" id="{3A34B3A4-69AF-488F-8EF6-4869CAE82DBB}"/>
            </a:ext>
          </a:extLst>
        </xdr:cNvPr>
        <xdr:cNvSpPr/>
      </xdr:nvSpPr>
      <xdr:spPr>
        <a:xfrm>
          <a:off x="5470895" y="133350"/>
          <a:ext cx="2016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Pratiques agronomiques</a:t>
          </a:r>
          <a:endParaRPr lang="fr-FR" sz="1100" b="1">
            <a:solidFill>
              <a:schemeClr val="accent1">
                <a:lumMod val="50000"/>
              </a:schemeClr>
            </a:solidFill>
          </a:endParaRPr>
        </a:p>
      </xdr:txBody>
    </xdr:sp>
    <xdr:clientData/>
  </xdr:twoCellAnchor>
  <xdr:twoCellAnchor>
    <xdr:from>
      <xdr:col>9</xdr:col>
      <xdr:colOff>24836</xdr:colOff>
      <xdr:row>2</xdr:row>
      <xdr:rowOff>142875</xdr:rowOff>
    </xdr:from>
    <xdr:to>
      <xdr:col>12</xdr:col>
      <xdr:colOff>225483</xdr:colOff>
      <xdr:row>4</xdr:row>
      <xdr:rowOff>10275</xdr:rowOff>
    </xdr:to>
    <xdr:sp macro="" textlink="">
      <xdr:nvSpPr>
        <xdr:cNvPr id="17" name="Parallelogram 16">
          <a:hlinkClick xmlns:r="http://schemas.openxmlformats.org/officeDocument/2006/relationships" r:id="rId8"/>
          <a:extLst>
            <a:ext uri="{FF2B5EF4-FFF2-40B4-BE49-F238E27FC236}">
              <a16:creationId xmlns:a16="http://schemas.microsoft.com/office/drawing/2014/main" id="{86DD3A37-A90D-4B3D-B61E-9C85FEBAA777}"/>
            </a:ext>
          </a:extLst>
        </xdr:cNvPr>
        <xdr:cNvSpPr/>
      </xdr:nvSpPr>
      <xdr:spPr>
        <a:xfrm>
          <a:off x="5470895" y="523875"/>
          <a:ext cx="2016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Prélèvements étiages</a:t>
          </a:r>
          <a:endParaRPr lang="fr-FR" sz="1100" b="1">
            <a:solidFill>
              <a:schemeClr val="accent1">
                <a:lumMod val="50000"/>
              </a:schemeClr>
            </a:solidFill>
          </a:endParaRPr>
        </a:p>
      </xdr:txBody>
    </xdr:sp>
    <xdr:clientData/>
  </xdr:twoCellAnchor>
  <xdr:twoCellAnchor>
    <xdr:from>
      <xdr:col>12</xdr:col>
      <xdr:colOff>251020</xdr:colOff>
      <xdr:row>0</xdr:row>
      <xdr:rowOff>133350</xdr:rowOff>
    </xdr:from>
    <xdr:to>
      <xdr:col>15</xdr:col>
      <xdr:colOff>235667</xdr:colOff>
      <xdr:row>2</xdr:row>
      <xdr:rowOff>750</xdr:rowOff>
    </xdr:to>
    <xdr:sp macro="" textlink="">
      <xdr:nvSpPr>
        <xdr:cNvPr id="18" name="Parallelogram 17">
          <a:hlinkClick xmlns:r="http://schemas.openxmlformats.org/officeDocument/2006/relationships" r:id="rId9"/>
          <a:extLst>
            <a:ext uri="{FF2B5EF4-FFF2-40B4-BE49-F238E27FC236}">
              <a16:creationId xmlns:a16="http://schemas.microsoft.com/office/drawing/2014/main" id="{61D1CA0A-6473-4A23-BC92-A0A9AC89D49C}"/>
            </a:ext>
          </a:extLst>
        </xdr:cNvPr>
        <xdr:cNvSpPr/>
      </xdr:nvSpPr>
      <xdr:spPr>
        <a:xfrm>
          <a:off x="7512432" y="133350"/>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Recyclage eaux</a:t>
          </a:r>
          <a:endParaRPr lang="fr-FR" sz="1100" b="1">
            <a:solidFill>
              <a:schemeClr val="accent1">
                <a:lumMod val="50000"/>
              </a:schemeClr>
            </a:solidFill>
          </a:endParaRPr>
        </a:p>
      </xdr:txBody>
    </xdr:sp>
    <xdr:clientData/>
  </xdr:twoCellAnchor>
  <xdr:twoCellAnchor>
    <xdr:from>
      <xdr:col>12</xdr:col>
      <xdr:colOff>251020</xdr:colOff>
      <xdr:row>2</xdr:row>
      <xdr:rowOff>142875</xdr:rowOff>
    </xdr:from>
    <xdr:to>
      <xdr:col>15</xdr:col>
      <xdr:colOff>235667</xdr:colOff>
      <xdr:row>4</xdr:row>
      <xdr:rowOff>10275</xdr:rowOff>
    </xdr:to>
    <xdr:sp macro="" textlink="">
      <xdr:nvSpPr>
        <xdr:cNvPr id="19" name="Parallelogram 18">
          <a:hlinkClick xmlns:r="http://schemas.openxmlformats.org/officeDocument/2006/relationships" r:id="rId10"/>
          <a:extLst>
            <a:ext uri="{FF2B5EF4-FFF2-40B4-BE49-F238E27FC236}">
              <a16:creationId xmlns:a16="http://schemas.microsoft.com/office/drawing/2014/main" id="{92448814-9A69-4395-AD13-0AF05A181348}"/>
            </a:ext>
          </a:extLst>
        </xdr:cNvPr>
        <xdr:cNvSpPr/>
      </xdr:nvSpPr>
      <xdr:spPr>
        <a:xfrm>
          <a:off x="7512432" y="523875"/>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Récupération eaux</a:t>
          </a:r>
          <a:endParaRPr lang="fr-FR" sz="1100" b="1">
            <a:solidFill>
              <a:schemeClr val="accent1">
                <a:lumMod val="50000"/>
              </a:schemeClr>
            </a:solidFill>
          </a:endParaRPr>
        </a:p>
      </xdr:txBody>
    </xdr:sp>
    <xdr:clientData/>
  </xdr:twoCellAnchor>
  <xdr:twoCellAnchor>
    <xdr:from>
      <xdr:col>1</xdr:col>
      <xdr:colOff>359834</xdr:colOff>
      <xdr:row>248</xdr:row>
      <xdr:rowOff>8715</xdr:rowOff>
    </xdr:from>
    <xdr:to>
      <xdr:col>6</xdr:col>
      <xdr:colOff>354355</xdr:colOff>
      <xdr:row>250</xdr:row>
      <xdr:rowOff>21744</xdr:rowOff>
    </xdr:to>
    <xdr:sp macro="" textlink="">
      <xdr:nvSpPr>
        <xdr:cNvPr id="20" name="Parallelogram 19">
          <a:extLst>
            <a:ext uri="{FF2B5EF4-FFF2-40B4-BE49-F238E27FC236}">
              <a16:creationId xmlns:a16="http://schemas.microsoft.com/office/drawing/2014/main" id="{F47EDAFC-DF90-45DF-B9E1-FF305E8A7B90}"/>
            </a:ext>
          </a:extLst>
        </xdr:cNvPr>
        <xdr:cNvSpPr/>
      </xdr:nvSpPr>
      <xdr:spPr>
        <a:xfrm>
          <a:off x="964952" y="47454421"/>
          <a:ext cx="3020109" cy="40523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15</xdr:col>
      <xdr:colOff>246528</xdr:colOff>
      <xdr:row>0</xdr:row>
      <xdr:rowOff>134466</xdr:rowOff>
    </xdr:from>
    <xdr:to>
      <xdr:col>17</xdr:col>
      <xdr:colOff>476293</xdr:colOff>
      <xdr:row>2</xdr:row>
      <xdr:rowOff>1866</xdr:rowOff>
    </xdr:to>
    <xdr:sp macro="" textlink="">
      <xdr:nvSpPr>
        <xdr:cNvPr id="21" name="Parallelogram 20">
          <a:hlinkClick xmlns:r="http://schemas.openxmlformats.org/officeDocument/2006/relationships" r:id="rId11"/>
          <a:extLst>
            <a:ext uri="{FF2B5EF4-FFF2-40B4-BE49-F238E27FC236}">
              <a16:creationId xmlns:a16="http://schemas.microsoft.com/office/drawing/2014/main" id="{2C9F5775-7652-4A12-90A2-9E1495E5129B}"/>
            </a:ext>
          </a:extLst>
        </xdr:cNvPr>
        <xdr:cNvSpPr/>
      </xdr:nvSpPr>
      <xdr:spPr>
        <a:xfrm>
          <a:off x="9323293" y="134466"/>
          <a:ext cx="144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Récapitulatif</a:t>
          </a:r>
          <a:endParaRPr lang="fr-FR" sz="1100" b="1">
            <a:solidFill>
              <a:schemeClr val="accent1">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2</xdr:col>
      <xdr:colOff>228600</xdr:colOff>
      <xdr:row>4</xdr:row>
      <xdr:rowOff>69067</xdr:rowOff>
    </xdr:to>
    <xdr:pic>
      <xdr:nvPicPr>
        <xdr:cNvPr id="2" name="Image 1">
          <a:hlinkClick xmlns:r="http://schemas.openxmlformats.org/officeDocument/2006/relationships" r:id="rId1"/>
          <a:extLst>
            <a:ext uri="{FF2B5EF4-FFF2-40B4-BE49-F238E27FC236}">
              <a16:creationId xmlns:a16="http://schemas.microsoft.com/office/drawing/2014/main" id="{4D921FE5-B560-43F7-BCC7-202962A53EB1}"/>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twoCellAnchor>
    <xdr:from>
      <xdr:col>0</xdr:col>
      <xdr:colOff>390525</xdr:colOff>
      <xdr:row>6</xdr:row>
      <xdr:rowOff>38100</xdr:rowOff>
    </xdr:from>
    <xdr:to>
      <xdr:col>6</xdr:col>
      <xdr:colOff>123825</xdr:colOff>
      <xdr:row>8</xdr:row>
      <xdr:rowOff>152400</xdr:rowOff>
    </xdr:to>
    <xdr:sp macro="" textlink="">
      <xdr:nvSpPr>
        <xdr:cNvPr id="13" name="Rectangle 12">
          <a:extLst>
            <a:ext uri="{FF2B5EF4-FFF2-40B4-BE49-F238E27FC236}">
              <a16:creationId xmlns:a16="http://schemas.microsoft.com/office/drawing/2014/main" id="{BF74C36C-BB0D-D5BA-50FD-554433EEDDA5}"/>
            </a:ext>
          </a:extLst>
        </xdr:cNvPr>
        <xdr:cNvSpPr/>
      </xdr:nvSpPr>
      <xdr:spPr>
        <a:xfrm>
          <a:off x="390525" y="118110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Biodiversité</a:t>
          </a:r>
        </a:p>
      </xdr:txBody>
    </xdr:sp>
    <xdr:clientData/>
  </xdr:twoCellAnchor>
  <xdr:twoCellAnchor>
    <xdr:from>
      <xdr:col>14</xdr:col>
      <xdr:colOff>381000</xdr:colOff>
      <xdr:row>6</xdr:row>
      <xdr:rowOff>38100</xdr:rowOff>
    </xdr:from>
    <xdr:to>
      <xdr:col>20</xdr:col>
      <xdr:colOff>114300</xdr:colOff>
      <xdr:row>8</xdr:row>
      <xdr:rowOff>152400</xdr:rowOff>
    </xdr:to>
    <xdr:sp macro="" textlink="">
      <xdr:nvSpPr>
        <xdr:cNvPr id="14" name="Rectangle 13">
          <a:extLst>
            <a:ext uri="{FF2B5EF4-FFF2-40B4-BE49-F238E27FC236}">
              <a16:creationId xmlns:a16="http://schemas.microsoft.com/office/drawing/2014/main" id="{B583BD40-3777-4F4B-9483-EC91EDD8D5C5}"/>
            </a:ext>
          </a:extLst>
        </xdr:cNvPr>
        <xdr:cNvSpPr/>
      </xdr:nvSpPr>
      <xdr:spPr>
        <a:xfrm>
          <a:off x="7696200" y="118110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Phytosanitaire</a:t>
          </a:r>
        </a:p>
      </xdr:txBody>
    </xdr:sp>
    <xdr:clientData/>
  </xdr:twoCellAnchor>
  <xdr:twoCellAnchor>
    <xdr:from>
      <xdr:col>0</xdr:col>
      <xdr:colOff>381000</xdr:colOff>
      <xdr:row>23</xdr:row>
      <xdr:rowOff>38100</xdr:rowOff>
    </xdr:from>
    <xdr:to>
      <xdr:col>6</xdr:col>
      <xdr:colOff>114300</xdr:colOff>
      <xdr:row>25</xdr:row>
      <xdr:rowOff>152400</xdr:rowOff>
    </xdr:to>
    <xdr:sp macro="" textlink="">
      <xdr:nvSpPr>
        <xdr:cNvPr id="16" name="Rectangle 15">
          <a:extLst>
            <a:ext uri="{FF2B5EF4-FFF2-40B4-BE49-F238E27FC236}">
              <a16:creationId xmlns:a16="http://schemas.microsoft.com/office/drawing/2014/main" id="{D19430BC-517E-4B35-BF98-A3E010367B87}"/>
            </a:ext>
          </a:extLst>
        </xdr:cNvPr>
        <xdr:cNvSpPr/>
      </xdr:nvSpPr>
      <xdr:spPr>
        <a:xfrm>
          <a:off x="7696200" y="118110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Fertilisation</a:t>
          </a:r>
        </a:p>
      </xdr:txBody>
    </xdr:sp>
    <xdr:clientData/>
  </xdr:twoCellAnchor>
  <xdr:twoCellAnchor>
    <xdr:from>
      <xdr:col>14</xdr:col>
      <xdr:colOff>409575</xdr:colOff>
      <xdr:row>23</xdr:row>
      <xdr:rowOff>38100</xdr:rowOff>
    </xdr:from>
    <xdr:to>
      <xdr:col>20</xdr:col>
      <xdr:colOff>142875</xdr:colOff>
      <xdr:row>25</xdr:row>
      <xdr:rowOff>152400</xdr:rowOff>
    </xdr:to>
    <xdr:sp macro="" textlink="">
      <xdr:nvSpPr>
        <xdr:cNvPr id="25" name="Rectangle 24">
          <a:extLst>
            <a:ext uri="{FF2B5EF4-FFF2-40B4-BE49-F238E27FC236}">
              <a16:creationId xmlns:a16="http://schemas.microsoft.com/office/drawing/2014/main" id="{1777D01B-514F-47CE-8ACD-040C5DF0737F}"/>
            </a:ext>
          </a:extLst>
        </xdr:cNvPr>
        <xdr:cNvSpPr/>
      </xdr:nvSpPr>
      <xdr:spPr>
        <a:xfrm>
          <a:off x="7724775" y="443865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Irrigation</a:t>
          </a:r>
        </a:p>
      </xdr:txBody>
    </xdr:sp>
    <xdr:clientData/>
  </xdr:twoCellAnchor>
  <xdr:twoCellAnchor>
    <xdr:from>
      <xdr:col>0</xdr:col>
      <xdr:colOff>228600</xdr:colOff>
      <xdr:row>39</xdr:row>
      <xdr:rowOff>152400</xdr:rowOff>
    </xdr:from>
    <xdr:to>
      <xdr:col>3</xdr:col>
      <xdr:colOff>152400</xdr:colOff>
      <xdr:row>42</xdr:row>
      <xdr:rowOff>85725</xdr:rowOff>
    </xdr:to>
    <xdr:sp macro="" textlink="">
      <xdr:nvSpPr>
        <xdr:cNvPr id="26" name="Rectangle 25">
          <a:extLst>
            <a:ext uri="{FF2B5EF4-FFF2-40B4-BE49-F238E27FC236}">
              <a16:creationId xmlns:a16="http://schemas.microsoft.com/office/drawing/2014/main" id="{D36D49EC-632C-4C1B-80E2-66A9324238BF}"/>
            </a:ext>
          </a:extLst>
        </xdr:cNvPr>
        <xdr:cNvSpPr/>
      </xdr:nvSpPr>
      <xdr:spPr>
        <a:xfrm>
          <a:off x="228600" y="7620000"/>
          <a:ext cx="1752600" cy="514350"/>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Notes par indicateur</a:t>
          </a:r>
        </a:p>
      </xdr:txBody>
    </xdr:sp>
    <xdr:clientData/>
  </xdr:twoCellAnchor>
  <xdr:twoCellAnchor>
    <xdr:from>
      <xdr:col>14</xdr:col>
      <xdr:colOff>361950</xdr:colOff>
      <xdr:row>39</xdr:row>
      <xdr:rowOff>171450</xdr:rowOff>
    </xdr:from>
    <xdr:to>
      <xdr:col>17</xdr:col>
      <xdr:colOff>285750</xdr:colOff>
      <xdr:row>42</xdr:row>
      <xdr:rowOff>104775</xdr:rowOff>
    </xdr:to>
    <xdr:sp macro="" textlink="">
      <xdr:nvSpPr>
        <xdr:cNvPr id="27" name="Rectangle 26">
          <a:extLst>
            <a:ext uri="{FF2B5EF4-FFF2-40B4-BE49-F238E27FC236}">
              <a16:creationId xmlns:a16="http://schemas.microsoft.com/office/drawing/2014/main" id="{91B706E8-857B-4F96-99FD-25A7EB045F68}"/>
            </a:ext>
          </a:extLst>
        </xdr:cNvPr>
        <xdr:cNvSpPr/>
      </xdr:nvSpPr>
      <xdr:spPr>
        <a:xfrm>
          <a:off x="7677150" y="7639050"/>
          <a:ext cx="1752600" cy="514350"/>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Résultat Audit</a:t>
          </a:r>
        </a:p>
      </xdr:txBody>
    </xdr:sp>
    <xdr:clientData/>
  </xdr:twoCellAnchor>
  <xdr:twoCellAnchor>
    <xdr:from>
      <xdr:col>0</xdr:col>
      <xdr:colOff>228600</xdr:colOff>
      <xdr:row>49</xdr:row>
      <xdr:rowOff>114300</xdr:rowOff>
    </xdr:from>
    <xdr:to>
      <xdr:col>3</xdr:col>
      <xdr:colOff>152400</xdr:colOff>
      <xdr:row>52</xdr:row>
      <xdr:rowOff>47625</xdr:rowOff>
    </xdr:to>
    <xdr:sp macro="" textlink="">
      <xdr:nvSpPr>
        <xdr:cNvPr id="3" name="Rectangle 2">
          <a:extLst>
            <a:ext uri="{FF2B5EF4-FFF2-40B4-BE49-F238E27FC236}">
              <a16:creationId xmlns:a16="http://schemas.microsoft.com/office/drawing/2014/main" id="{5B8D4C5A-4EBE-439B-A6B9-D196269EE280}"/>
            </a:ext>
          </a:extLst>
        </xdr:cNvPr>
        <xdr:cNvSpPr/>
      </xdr:nvSpPr>
      <xdr:spPr>
        <a:xfrm>
          <a:off x="228600" y="9505950"/>
          <a:ext cx="1752600" cy="514350"/>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Bilan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agreste.agriculture.gouv.fr/agreste-web/methodon/N.1/!searchurl/listeTypeMethodo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D16"/>
  <sheetViews>
    <sheetView topLeftCell="A10" workbookViewId="0">
      <selection activeCell="D18" sqref="D18"/>
    </sheetView>
  </sheetViews>
  <sheetFormatPr baseColWidth="10" defaultRowHeight="15" x14ac:dyDescent="0.25"/>
  <cols>
    <col min="1" max="1" width="10.7109375" style="584" customWidth="1"/>
    <col min="2" max="2" width="12.7109375" style="584" customWidth="1"/>
    <col min="3" max="3" width="25.7109375" style="584" customWidth="1"/>
    <col min="4" max="4" width="122.7109375" style="584" customWidth="1"/>
    <col min="5" max="16384" width="11.42578125" style="584"/>
  </cols>
  <sheetData>
    <row r="1" spans="1:4" s="586" customFormat="1" ht="18.75" x14ac:dyDescent="0.3">
      <c r="A1" s="585" t="s">
        <v>2646</v>
      </c>
    </row>
    <row r="3" spans="1:4" x14ac:dyDescent="0.25">
      <c r="A3" s="635" t="s">
        <v>2647</v>
      </c>
      <c r="B3" s="635" t="s">
        <v>2546</v>
      </c>
      <c r="C3" s="635" t="s">
        <v>2866</v>
      </c>
      <c r="D3" s="635" t="s">
        <v>2648</v>
      </c>
    </row>
    <row r="4" spans="1:4" x14ac:dyDescent="0.25">
      <c r="A4" s="588" t="s">
        <v>2649</v>
      </c>
      <c r="B4" s="589">
        <v>44886</v>
      </c>
      <c r="C4" s="589"/>
      <c r="D4" s="587"/>
    </row>
    <row r="5" spans="1:4" x14ac:dyDescent="0.25">
      <c r="A5" s="588" t="s">
        <v>2650</v>
      </c>
      <c r="B5" s="589">
        <v>44888</v>
      </c>
      <c r="C5" s="590" t="s">
        <v>313</v>
      </c>
      <c r="D5" s="591" t="s">
        <v>2652</v>
      </c>
    </row>
    <row r="6" spans="1:4" ht="45" x14ac:dyDescent="0.25">
      <c r="A6" s="588" t="s">
        <v>2651</v>
      </c>
      <c r="B6" s="589">
        <v>44895</v>
      </c>
      <c r="C6" s="590" t="s">
        <v>353</v>
      </c>
      <c r="D6" s="591" t="s">
        <v>2653</v>
      </c>
    </row>
    <row r="7" spans="1:4" ht="30" x14ac:dyDescent="0.25">
      <c r="A7" s="588" t="s">
        <v>2655</v>
      </c>
      <c r="B7" s="589">
        <v>44897</v>
      </c>
      <c r="C7" s="590" t="s">
        <v>353</v>
      </c>
      <c r="D7" s="591" t="s">
        <v>2656</v>
      </c>
    </row>
    <row r="8" spans="1:4" x14ac:dyDescent="0.25">
      <c r="A8" s="685" t="s">
        <v>2784</v>
      </c>
      <c r="B8" s="683">
        <v>44938</v>
      </c>
      <c r="C8" s="590" t="s">
        <v>746</v>
      </c>
      <c r="D8" s="591" t="s">
        <v>2827</v>
      </c>
    </row>
    <row r="9" spans="1:4" ht="30" x14ac:dyDescent="0.25">
      <c r="A9" s="686"/>
      <c r="B9" s="684"/>
      <c r="C9" s="590" t="s">
        <v>2828</v>
      </c>
      <c r="D9" s="591" t="s">
        <v>2859</v>
      </c>
    </row>
    <row r="10" spans="1:4" ht="30" x14ac:dyDescent="0.25">
      <c r="A10" s="687" t="s">
        <v>2860</v>
      </c>
      <c r="B10" s="688">
        <v>44963</v>
      </c>
      <c r="C10" s="590" t="s">
        <v>2861</v>
      </c>
      <c r="D10" s="591" t="s">
        <v>2863</v>
      </c>
    </row>
    <row r="11" spans="1:4" ht="105" x14ac:dyDescent="0.25">
      <c r="A11" s="687"/>
      <c r="B11" s="688"/>
      <c r="C11" s="590" t="s">
        <v>313</v>
      </c>
      <c r="D11" s="591" t="s">
        <v>2869</v>
      </c>
    </row>
    <row r="12" spans="1:4" ht="30" x14ac:dyDescent="0.25">
      <c r="A12" s="687"/>
      <c r="B12" s="688"/>
      <c r="C12" s="590" t="s">
        <v>2862</v>
      </c>
      <c r="D12" s="591" t="s">
        <v>2870</v>
      </c>
    </row>
    <row r="13" spans="1:4" ht="75" x14ac:dyDescent="0.25">
      <c r="A13" s="685" t="s">
        <v>2881</v>
      </c>
      <c r="B13" s="683">
        <v>44993</v>
      </c>
      <c r="C13" s="590" t="s">
        <v>2861</v>
      </c>
      <c r="D13" s="591" t="s">
        <v>2903</v>
      </c>
    </row>
    <row r="14" spans="1:4" ht="30" x14ac:dyDescent="0.25">
      <c r="A14" s="689"/>
      <c r="B14" s="690"/>
      <c r="C14" s="590" t="s">
        <v>2887</v>
      </c>
      <c r="D14" s="591" t="s">
        <v>2902</v>
      </c>
    </row>
    <row r="15" spans="1:4" ht="30" x14ac:dyDescent="0.25">
      <c r="A15" s="686"/>
      <c r="B15" s="684"/>
      <c r="C15" s="682" t="s">
        <v>332</v>
      </c>
      <c r="D15" s="591" t="s">
        <v>2906</v>
      </c>
    </row>
    <row r="16" spans="1:4" x14ac:dyDescent="0.25">
      <c r="A16" s="647"/>
      <c r="B16" s="648"/>
      <c r="C16" s="590"/>
      <c r="D16" s="591"/>
    </row>
  </sheetData>
  <sheetProtection algorithmName="SHA-512" hashValue="Tfk8IeElnpuxbRa4U6u6ZIN4/xtzLDGY+pamTbvaF80rpW6Cr8UBJ2h7cS0/BgAvpYTyk83v3ABiZdPC2zWgag==" saltValue="Q6+tZy9LiNjWZyQpJoXluw==" spinCount="100000" sheet="1" objects="1" scenarios="1"/>
  <mergeCells count="6">
    <mergeCell ref="B8:B9"/>
    <mergeCell ref="A8:A9"/>
    <mergeCell ref="A10:A12"/>
    <mergeCell ref="B10:B12"/>
    <mergeCell ref="A13:A15"/>
    <mergeCell ref="B13:B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499984740745262"/>
    <pageSetUpPr fitToPage="1"/>
  </sheetPr>
  <dimension ref="C4:P44"/>
  <sheetViews>
    <sheetView showGridLines="0" tabSelected="1" workbookViewId="0">
      <selection activeCell="O12" sqref="O12"/>
    </sheetView>
  </sheetViews>
  <sheetFormatPr baseColWidth="10" defaultColWidth="9.140625" defaultRowHeight="15" x14ac:dyDescent="0.25"/>
  <sheetData>
    <row r="4" spans="3:16" x14ac:dyDescent="0.25">
      <c r="I4" s="691" t="s">
        <v>715</v>
      </c>
      <c r="J4" s="691"/>
      <c r="K4" s="691"/>
      <c r="L4" s="691"/>
      <c r="M4" s="691"/>
      <c r="N4" s="691"/>
      <c r="O4" s="691"/>
      <c r="P4" s="691"/>
    </row>
    <row r="5" spans="3:16" x14ac:dyDescent="0.25">
      <c r="J5" s="691" t="s">
        <v>714</v>
      </c>
      <c r="K5" s="691"/>
      <c r="L5" s="691"/>
      <c r="M5" s="691"/>
      <c r="N5" s="691"/>
      <c r="O5" s="691"/>
      <c r="P5" s="691"/>
    </row>
    <row r="6" spans="3:16" x14ac:dyDescent="0.25">
      <c r="I6" s="692" t="s">
        <v>2909</v>
      </c>
      <c r="J6" s="692"/>
      <c r="K6" s="692"/>
      <c r="L6" s="692"/>
      <c r="M6" s="692"/>
      <c r="N6" s="692"/>
      <c r="O6" s="692"/>
      <c r="P6" s="692"/>
    </row>
    <row r="7" spans="3:16" x14ac:dyDescent="0.25">
      <c r="I7" s="692" t="s">
        <v>2910</v>
      </c>
      <c r="J7" s="692"/>
      <c r="K7" s="692"/>
      <c r="L7" s="692"/>
      <c r="M7" s="692"/>
      <c r="N7" s="692"/>
      <c r="O7" s="692"/>
      <c r="P7" s="692"/>
    </row>
    <row r="12" spans="3:16" ht="29.25" thickBot="1" x14ac:dyDescent="0.5">
      <c r="C12" s="30" t="s">
        <v>564</v>
      </c>
    </row>
    <row r="13" spans="3:16" x14ac:dyDescent="0.25">
      <c r="C13" s="31"/>
      <c r="D13" s="32"/>
      <c r="E13" s="32"/>
      <c r="F13" s="32"/>
      <c r="G13" s="32"/>
      <c r="H13" s="32"/>
      <c r="I13" s="32"/>
      <c r="J13" s="32"/>
      <c r="K13" s="32"/>
      <c r="L13" s="32"/>
      <c r="M13" s="32"/>
      <c r="N13" s="32"/>
      <c r="O13" s="33"/>
    </row>
    <row r="14" spans="3:16" x14ac:dyDescent="0.25">
      <c r="C14" s="34"/>
      <c r="D14" s="6"/>
      <c r="E14" s="6"/>
      <c r="F14" s="6"/>
      <c r="G14" s="6"/>
      <c r="H14" s="6"/>
      <c r="I14" s="6"/>
      <c r="J14" s="6"/>
      <c r="K14" s="6"/>
      <c r="L14" s="6"/>
      <c r="M14" s="6"/>
      <c r="N14" s="6"/>
      <c r="O14" s="35"/>
    </row>
    <row r="15" spans="3:16" x14ac:dyDescent="0.25">
      <c r="C15" s="34"/>
      <c r="D15" s="6"/>
      <c r="E15" s="6"/>
      <c r="F15" s="6"/>
      <c r="G15" s="6"/>
      <c r="H15" s="6"/>
      <c r="I15" s="6"/>
      <c r="J15" s="6"/>
      <c r="K15" s="6"/>
      <c r="L15" s="6"/>
      <c r="M15" s="6"/>
      <c r="N15" s="6"/>
      <c r="O15" s="35"/>
    </row>
    <row r="16" spans="3:16" x14ac:dyDescent="0.25">
      <c r="C16" s="34"/>
      <c r="D16" s="6"/>
      <c r="E16" s="6"/>
      <c r="F16" s="6"/>
      <c r="G16" s="6"/>
      <c r="H16" s="6"/>
      <c r="I16" s="6"/>
      <c r="J16" s="6"/>
      <c r="K16" s="6"/>
      <c r="L16" s="6"/>
      <c r="M16" s="6"/>
      <c r="N16" s="6"/>
      <c r="O16" s="35"/>
    </row>
    <row r="17" spans="3:15" ht="15.75" thickBot="1" x14ac:dyDescent="0.3">
      <c r="C17" s="36"/>
      <c r="D17" s="37"/>
      <c r="E17" s="37"/>
      <c r="F17" s="37"/>
      <c r="G17" s="37"/>
      <c r="H17" s="37"/>
      <c r="I17" s="37"/>
      <c r="J17" s="37"/>
      <c r="K17" s="37"/>
      <c r="L17" s="37"/>
      <c r="M17" s="37"/>
      <c r="N17" s="37"/>
      <c r="O17" s="38"/>
    </row>
    <row r="21" spans="3:15" ht="29.25" thickBot="1" x14ac:dyDescent="0.5">
      <c r="C21" s="30" t="s">
        <v>565</v>
      </c>
    </row>
    <row r="22" spans="3:15" x14ac:dyDescent="0.25">
      <c r="C22" s="31"/>
      <c r="D22" s="32"/>
      <c r="E22" s="32"/>
      <c r="F22" s="32"/>
      <c r="G22" s="32"/>
      <c r="H22" s="32"/>
      <c r="I22" s="32"/>
      <c r="J22" s="32"/>
      <c r="K22" s="32"/>
      <c r="L22" s="32"/>
      <c r="M22" s="32"/>
      <c r="N22" s="32"/>
      <c r="O22" s="33"/>
    </row>
    <row r="23" spans="3:15" x14ac:dyDescent="0.25">
      <c r="C23" s="34"/>
      <c r="D23" s="6"/>
      <c r="E23" s="6"/>
      <c r="F23" s="6"/>
      <c r="G23" s="6"/>
      <c r="H23" s="6"/>
      <c r="I23" s="6"/>
      <c r="J23" s="6"/>
      <c r="K23" s="6"/>
      <c r="L23" s="6"/>
      <c r="M23" s="6"/>
      <c r="N23" s="6"/>
      <c r="O23" s="35"/>
    </row>
    <row r="24" spans="3:15" x14ac:dyDescent="0.25">
      <c r="C24" s="34"/>
      <c r="D24" s="6"/>
      <c r="E24" s="6"/>
      <c r="F24" s="6"/>
      <c r="G24" s="6"/>
      <c r="H24" s="6"/>
      <c r="I24" s="6"/>
      <c r="J24" s="6"/>
      <c r="K24" s="6"/>
      <c r="L24" s="6"/>
      <c r="M24" s="6"/>
      <c r="N24" s="6"/>
      <c r="O24" s="35"/>
    </row>
    <row r="25" spans="3:15" x14ac:dyDescent="0.25">
      <c r="C25" s="34"/>
      <c r="D25" s="6"/>
      <c r="E25" s="6"/>
      <c r="F25" s="6"/>
      <c r="G25" s="6"/>
      <c r="H25" s="6"/>
      <c r="I25" s="6"/>
      <c r="J25" s="6"/>
      <c r="K25" s="6"/>
      <c r="L25" s="6"/>
      <c r="M25" s="6"/>
      <c r="N25" s="6"/>
      <c r="O25" s="35"/>
    </row>
    <row r="26" spans="3:15" ht="15.75" thickBot="1" x14ac:dyDescent="0.3">
      <c r="C26" s="36"/>
      <c r="D26" s="37"/>
      <c r="E26" s="37"/>
      <c r="F26" s="37"/>
      <c r="G26" s="37"/>
      <c r="H26" s="37"/>
      <c r="I26" s="37"/>
      <c r="J26" s="37"/>
      <c r="K26" s="37"/>
      <c r="L26" s="37"/>
      <c r="M26" s="37"/>
      <c r="N26" s="37"/>
      <c r="O26" s="38"/>
    </row>
    <row r="30" spans="3:15" ht="29.25" thickBot="1" x14ac:dyDescent="0.5">
      <c r="C30" s="30" t="s">
        <v>70</v>
      </c>
    </row>
    <row r="31" spans="3:15" x14ac:dyDescent="0.25">
      <c r="C31" s="31"/>
      <c r="D31" s="32"/>
      <c r="E31" s="32"/>
      <c r="F31" s="32"/>
      <c r="G31" s="32"/>
      <c r="H31" s="32"/>
      <c r="I31" s="32"/>
      <c r="J31" s="32"/>
      <c r="K31" s="32"/>
      <c r="L31" s="32"/>
      <c r="M31" s="32"/>
      <c r="N31" s="32"/>
      <c r="O31" s="33"/>
    </row>
    <row r="32" spans="3:15" x14ac:dyDescent="0.25">
      <c r="C32" s="34"/>
      <c r="D32" s="6"/>
      <c r="E32" s="6"/>
      <c r="F32" s="6"/>
      <c r="G32" s="6"/>
      <c r="H32" s="6"/>
      <c r="I32" s="6"/>
      <c r="J32" s="6"/>
      <c r="K32" s="6"/>
      <c r="L32" s="6"/>
      <c r="M32" s="6"/>
      <c r="N32" s="6"/>
      <c r="O32" s="35"/>
    </row>
    <row r="33" spans="3:15" x14ac:dyDescent="0.25">
      <c r="C33" s="34"/>
      <c r="D33" s="6"/>
      <c r="E33" s="6"/>
      <c r="F33" s="6"/>
      <c r="G33" s="6"/>
      <c r="H33" s="6"/>
      <c r="I33" s="6"/>
      <c r="J33" s="6"/>
      <c r="K33" s="6"/>
      <c r="L33" s="6"/>
      <c r="M33" s="6"/>
      <c r="N33" s="6"/>
      <c r="O33" s="35"/>
    </row>
    <row r="34" spans="3:15" x14ac:dyDescent="0.25">
      <c r="C34" s="34"/>
      <c r="D34" s="6"/>
      <c r="E34" s="6"/>
      <c r="F34" s="6"/>
      <c r="G34" s="6"/>
      <c r="H34" s="6"/>
      <c r="I34" s="6"/>
      <c r="J34" s="6"/>
      <c r="K34" s="6"/>
      <c r="L34" s="6"/>
      <c r="M34" s="6"/>
      <c r="N34" s="6"/>
      <c r="O34" s="35"/>
    </row>
    <row r="35" spans="3:15" ht="15.75" thickBot="1" x14ac:dyDescent="0.3">
      <c r="C35" s="36"/>
      <c r="D35" s="37"/>
      <c r="E35" s="37"/>
      <c r="F35" s="37"/>
      <c r="G35" s="37"/>
      <c r="H35" s="37"/>
      <c r="I35" s="37"/>
      <c r="J35" s="37"/>
      <c r="K35" s="37"/>
      <c r="L35" s="37"/>
      <c r="M35" s="37"/>
      <c r="N35" s="37"/>
      <c r="O35" s="38"/>
    </row>
    <row r="38" spans="3:15" ht="29.25" thickBot="1" x14ac:dyDescent="0.5">
      <c r="C38" s="445" t="s">
        <v>2424</v>
      </c>
    </row>
    <row r="39" spans="3:15" x14ac:dyDescent="0.25">
      <c r="C39" s="93"/>
      <c r="D39" s="94"/>
      <c r="E39" s="94"/>
      <c r="F39" s="94"/>
      <c r="G39" s="94"/>
      <c r="H39" s="94"/>
      <c r="I39" s="94"/>
      <c r="J39" s="94"/>
      <c r="K39" s="94"/>
      <c r="L39" s="94"/>
      <c r="M39" s="94"/>
      <c r="N39" s="94"/>
      <c r="O39" s="95"/>
    </row>
    <row r="40" spans="3:15" x14ac:dyDescent="0.25">
      <c r="C40" s="96"/>
      <c r="D40" s="446"/>
      <c r="E40" s="6" t="s">
        <v>2327</v>
      </c>
      <c r="F40" s="6"/>
      <c r="G40" s="6"/>
      <c r="H40" s="6"/>
      <c r="I40" s="6"/>
      <c r="J40" s="6"/>
      <c r="K40" s="6"/>
      <c r="L40" s="6"/>
      <c r="M40" s="6"/>
      <c r="N40" s="6"/>
      <c r="O40" s="55"/>
    </row>
    <row r="41" spans="3:15" x14ac:dyDescent="0.25">
      <c r="C41" s="96"/>
      <c r="D41" s="447"/>
      <c r="E41" s="6" t="s">
        <v>2328</v>
      </c>
      <c r="F41" s="6"/>
      <c r="G41" s="6"/>
      <c r="H41" s="6"/>
      <c r="I41" s="6"/>
      <c r="J41" s="6"/>
      <c r="K41" s="6"/>
      <c r="L41" s="6"/>
      <c r="M41" s="6"/>
      <c r="N41" s="6"/>
      <c r="O41" s="55"/>
    </row>
    <row r="42" spans="3:15" x14ac:dyDescent="0.25">
      <c r="C42" s="96"/>
      <c r="D42" s="448"/>
      <c r="E42" s="6" t="s">
        <v>2329</v>
      </c>
      <c r="F42" s="6"/>
      <c r="G42" s="6"/>
      <c r="H42" s="6"/>
      <c r="I42" s="6"/>
      <c r="J42" s="6"/>
      <c r="K42" s="6"/>
      <c r="L42" s="6"/>
      <c r="M42" s="6"/>
      <c r="N42" s="6"/>
      <c r="O42" s="55"/>
    </row>
    <row r="43" spans="3:15" x14ac:dyDescent="0.25">
      <c r="C43" s="96"/>
      <c r="D43" s="449"/>
      <c r="E43" s="6" t="s">
        <v>2330</v>
      </c>
      <c r="F43" s="6"/>
      <c r="G43" s="6"/>
      <c r="H43" s="6"/>
      <c r="I43" s="6"/>
      <c r="J43" s="6"/>
      <c r="K43" s="6"/>
      <c r="L43" s="6"/>
      <c r="M43" s="6"/>
      <c r="N43" s="6"/>
      <c r="O43" s="55"/>
    </row>
    <row r="44" spans="3:15" ht="15.75" thickBot="1" x14ac:dyDescent="0.3">
      <c r="C44" s="97"/>
      <c r="D44" s="98"/>
      <c r="E44" s="98"/>
      <c r="F44" s="98"/>
      <c r="G44" s="98"/>
      <c r="H44" s="98"/>
      <c r="I44" s="98"/>
      <c r="J44" s="98"/>
      <c r="K44" s="98"/>
      <c r="L44" s="98"/>
      <c r="M44" s="98"/>
      <c r="N44" s="98"/>
      <c r="O44" s="54"/>
    </row>
  </sheetData>
  <sheetProtection algorithmName="SHA-512" hashValue="eaR5l2x9IcPcNskc+uelAG0oUlgCbUgYOhld3qkm97cWIRr7zUjJEQQ8nmKZID0j+veRWnUzmt0cg0oCqp7l4Q==" saltValue="iksYB63WzziMbJ2sg18EHg==" spinCount="100000" sheet="1" objects="1" scenarios="1"/>
  <mergeCells count="4">
    <mergeCell ref="J5:P5"/>
    <mergeCell ref="I4:P4"/>
    <mergeCell ref="I6:P6"/>
    <mergeCell ref="I7:P7"/>
  </mergeCells>
  <pageMargins left="0.7" right="0.7" top="0.75" bottom="0.75" header="0.3" footer="0.3"/>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39997558519241921"/>
    <pageSetUpPr fitToPage="1"/>
  </sheetPr>
  <dimension ref="A1:Z121"/>
  <sheetViews>
    <sheetView showGridLines="0" zoomScale="85" zoomScaleNormal="85" workbookViewId="0">
      <pane ySplit="5" topLeftCell="A6" activePane="bottomLeft" state="frozen"/>
      <selection pane="bottomLeft" activeCell="Z16" sqref="Z16"/>
    </sheetView>
  </sheetViews>
  <sheetFormatPr baseColWidth="10" defaultColWidth="9.140625" defaultRowHeight="15" x14ac:dyDescent="0.25"/>
  <sheetData>
    <row r="1" spans="1:26" x14ac:dyDescent="0.25">
      <c r="A1" s="29"/>
      <c r="B1" s="29"/>
      <c r="C1" s="29"/>
      <c r="D1" s="29"/>
      <c r="E1" s="29"/>
      <c r="F1" s="29"/>
      <c r="G1" s="29"/>
      <c r="H1" s="29"/>
      <c r="I1" s="29"/>
      <c r="J1" s="29"/>
      <c r="K1" s="29"/>
      <c r="L1" s="29"/>
      <c r="M1" s="29"/>
      <c r="N1" s="29"/>
      <c r="O1" s="29"/>
      <c r="P1" s="29"/>
      <c r="Q1" s="29"/>
      <c r="R1" s="29"/>
      <c r="S1" s="29"/>
      <c r="T1" s="29"/>
      <c r="U1" s="29"/>
      <c r="V1" s="29"/>
      <c r="W1" s="29"/>
      <c r="X1" s="29"/>
      <c r="Y1" s="696" t="str">
        <f>Accueil!I6</f>
        <v>Version 1.06</v>
      </c>
      <c r="Z1" s="696"/>
    </row>
    <row r="2" spans="1:26" x14ac:dyDescent="0.25">
      <c r="A2" s="29"/>
      <c r="B2" s="29"/>
      <c r="C2" s="29"/>
      <c r="D2" s="29"/>
      <c r="E2" s="29"/>
      <c r="F2" s="29"/>
      <c r="G2" s="29"/>
      <c r="H2" s="29"/>
      <c r="I2" s="29"/>
      <c r="J2" s="29"/>
      <c r="K2" s="29"/>
      <c r="L2" s="29"/>
      <c r="M2" s="29"/>
      <c r="N2" s="29"/>
      <c r="O2" s="29"/>
      <c r="P2" s="29"/>
      <c r="Q2" s="29"/>
      <c r="R2" s="29"/>
      <c r="S2" s="29"/>
      <c r="T2" s="29"/>
      <c r="U2" s="29"/>
      <c r="V2" s="29"/>
      <c r="W2" s="29"/>
      <c r="X2" s="29"/>
      <c r="Y2" s="29"/>
      <c r="Z2" s="29"/>
    </row>
    <row r="3" spans="1:26" x14ac:dyDescent="0.25">
      <c r="A3" s="29"/>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29"/>
      <c r="B4" s="29"/>
      <c r="C4" s="29"/>
      <c r="D4" s="29"/>
      <c r="E4" s="29"/>
      <c r="F4" s="29"/>
      <c r="G4" s="29"/>
      <c r="H4" s="29"/>
      <c r="I4" s="29"/>
      <c r="J4" s="29"/>
      <c r="K4" s="29"/>
      <c r="L4" s="29"/>
      <c r="M4" s="29"/>
      <c r="N4" s="29"/>
      <c r="O4" s="29"/>
      <c r="P4" s="29"/>
      <c r="Q4" s="29"/>
      <c r="R4" s="29"/>
      <c r="S4" s="29"/>
      <c r="T4" s="29"/>
      <c r="U4" s="29"/>
      <c r="V4" s="29"/>
      <c r="W4" s="29"/>
      <c r="X4" s="29"/>
      <c r="Y4" s="29"/>
      <c r="Z4" s="29"/>
    </row>
    <row r="5" spans="1:26" x14ac:dyDescent="0.25">
      <c r="A5" s="29"/>
      <c r="B5" s="29"/>
      <c r="C5" s="29"/>
      <c r="D5" s="29"/>
      <c r="E5" s="29"/>
      <c r="F5" s="29"/>
      <c r="G5" s="29"/>
      <c r="H5" s="29"/>
      <c r="I5" s="29"/>
      <c r="J5" s="29"/>
      <c r="K5" s="29"/>
      <c r="L5" s="29"/>
      <c r="M5" s="29"/>
      <c r="N5" s="29"/>
      <c r="O5" s="29"/>
      <c r="P5" s="29"/>
      <c r="Q5" s="29"/>
      <c r="R5" s="29"/>
      <c r="S5" s="29"/>
      <c r="T5" s="29"/>
      <c r="U5" s="29"/>
      <c r="V5" s="29"/>
      <c r="W5" s="29"/>
      <c r="X5" s="29"/>
      <c r="Y5" s="29"/>
      <c r="Z5" s="29"/>
    </row>
    <row r="7" spans="1:26" ht="15.75" thickBot="1" x14ac:dyDescent="0.3"/>
    <row r="8" spans="1:26" x14ac:dyDescent="0.25">
      <c r="B8" s="3"/>
      <c r="C8" s="4"/>
      <c r="D8" s="4"/>
      <c r="E8" s="4"/>
      <c r="F8" s="4"/>
      <c r="G8" s="4"/>
      <c r="H8" s="4"/>
      <c r="I8" s="4"/>
      <c r="J8" s="4"/>
      <c r="K8" s="4"/>
      <c r="L8" s="4"/>
      <c r="M8" s="11"/>
      <c r="N8" s="11"/>
      <c r="O8" s="11"/>
      <c r="P8" s="11"/>
      <c r="Q8" s="11"/>
      <c r="R8" s="11"/>
      <c r="S8" s="11"/>
      <c r="T8" s="11"/>
      <c r="U8" s="11"/>
      <c r="V8" s="11"/>
      <c r="W8" s="11"/>
      <c r="X8" s="11"/>
      <c r="Y8" s="12"/>
    </row>
    <row r="9" spans="1:26" x14ac:dyDescent="0.25">
      <c r="B9" s="5"/>
      <c r="C9" s="6"/>
      <c r="D9" s="6"/>
      <c r="E9" s="6"/>
      <c r="F9" s="6"/>
      <c r="G9" s="6"/>
      <c r="H9" s="6"/>
      <c r="I9" s="6"/>
      <c r="J9" s="6"/>
      <c r="K9" s="6"/>
      <c r="L9" s="6"/>
      <c r="M9" s="6"/>
      <c r="N9" s="6"/>
      <c r="O9" s="6"/>
      <c r="P9" s="6"/>
      <c r="Q9" s="6"/>
      <c r="R9" s="6"/>
      <c r="S9" s="6"/>
      <c r="T9" s="6"/>
      <c r="U9" s="6"/>
      <c r="V9" s="6"/>
      <c r="W9" s="6"/>
      <c r="X9" s="6"/>
      <c r="Y9" s="14"/>
    </row>
    <row r="10" spans="1:26" x14ac:dyDescent="0.25">
      <c r="B10" s="5"/>
      <c r="C10" s="6"/>
      <c r="D10" s="6"/>
      <c r="E10" s="6"/>
      <c r="F10" s="700"/>
      <c r="G10" s="701"/>
      <c r="H10" s="6"/>
      <c r="I10" s="6"/>
      <c r="J10" s="6"/>
      <c r="K10" s="6"/>
      <c r="L10" s="6"/>
      <c r="M10" s="6"/>
      <c r="N10" s="6"/>
      <c r="O10" s="6"/>
      <c r="P10" s="6"/>
      <c r="Q10" s="6"/>
      <c r="R10" s="6"/>
      <c r="S10" s="6"/>
      <c r="W10" s="6"/>
      <c r="X10" s="6"/>
      <c r="Y10" s="14"/>
    </row>
    <row r="11" spans="1:26" x14ac:dyDescent="0.25">
      <c r="B11" s="5"/>
      <c r="C11" s="6"/>
      <c r="D11" s="6"/>
      <c r="E11" s="6"/>
      <c r="F11" s="6"/>
      <c r="G11" s="6"/>
      <c r="H11" s="6"/>
      <c r="I11" s="6"/>
      <c r="J11" s="6"/>
      <c r="K11" s="6"/>
      <c r="L11" s="6"/>
      <c r="M11" s="6"/>
      <c r="N11" s="6"/>
      <c r="O11" s="6"/>
      <c r="P11" s="6"/>
      <c r="Q11" s="6"/>
      <c r="R11" s="6"/>
      <c r="S11" s="6"/>
      <c r="T11" s="6"/>
      <c r="U11" s="6"/>
      <c r="V11" s="6"/>
      <c r="W11" s="6"/>
      <c r="X11" s="6"/>
      <c r="Y11" s="14"/>
    </row>
    <row r="12" spans="1:26" x14ac:dyDescent="0.25">
      <c r="B12" s="5"/>
      <c r="C12" s="6"/>
      <c r="D12" s="6"/>
      <c r="E12" s="6"/>
      <c r="F12" s="707"/>
      <c r="G12" s="708"/>
      <c r="H12" s="708"/>
      <c r="I12" s="708"/>
      <c r="J12" s="708"/>
      <c r="K12" s="709"/>
      <c r="L12" s="6"/>
      <c r="M12" s="6"/>
      <c r="Q12" s="104"/>
      <c r="R12" s="6"/>
      <c r="S12" s="6"/>
      <c r="T12" s="707"/>
      <c r="U12" s="708"/>
      <c r="V12" s="709"/>
      <c r="X12" s="6"/>
      <c r="Y12" s="14"/>
    </row>
    <row r="13" spans="1:26" x14ac:dyDescent="0.25">
      <c r="B13" s="5"/>
      <c r="C13" s="6"/>
      <c r="D13" s="6"/>
      <c r="E13" s="6"/>
      <c r="F13" s="6"/>
      <c r="G13" s="6"/>
      <c r="H13" s="6"/>
      <c r="I13" s="6"/>
      <c r="J13" s="6"/>
      <c r="K13" s="6"/>
      <c r="L13" s="6"/>
      <c r="M13" s="6"/>
      <c r="N13" s="6"/>
      <c r="O13" s="6"/>
      <c r="P13" s="6"/>
      <c r="Q13" s="6"/>
      <c r="R13" s="6"/>
      <c r="S13" s="6"/>
      <c r="T13" s="6"/>
      <c r="U13" s="6"/>
      <c r="V13" s="6"/>
      <c r="W13" s="6"/>
      <c r="X13" s="6"/>
      <c r="Y13" s="14"/>
    </row>
    <row r="14" spans="1:26" x14ac:dyDescent="0.25">
      <c r="B14" s="5"/>
      <c r="C14" s="6"/>
      <c r="D14" s="6"/>
      <c r="E14" s="6"/>
      <c r="F14" s="697"/>
      <c r="G14" s="698"/>
      <c r="H14" s="698"/>
      <c r="I14" s="699"/>
      <c r="J14" s="6"/>
      <c r="K14" s="6"/>
      <c r="L14" s="6"/>
      <c r="M14" s="6"/>
      <c r="N14" s="6"/>
      <c r="O14" s="23" t="s">
        <v>717</v>
      </c>
      <c r="R14" s="6"/>
      <c r="S14" s="6"/>
      <c r="T14" s="6"/>
      <c r="U14" s="6"/>
      <c r="V14" s="6"/>
      <c r="W14" s="6"/>
      <c r="X14" s="6"/>
      <c r="Y14" s="14"/>
    </row>
    <row r="15" spans="1:26" x14ac:dyDescent="0.25">
      <c r="B15" s="5"/>
      <c r="C15" s="6"/>
      <c r="D15" s="6"/>
      <c r="E15" s="6"/>
      <c r="F15" s="6"/>
      <c r="G15" s="6"/>
      <c r="H15" s="6"/>
      <c r="I15" s="6"/>
      <c r="J15" s="6"/>
      <c r="K15" s="6"/>
      <c r="L15" s="6"/>
      <c r="M15" s="6"/>
      <c r="O15" s="6"/>
      <c r="P15" s="6"/>
      <c r="Q15" s="6"/>
      <c r="R15" s="6"/>
      <c r="S15" s="6"/>
      <c r="T15" s="6"/>
      <c r="U15" s="6"/>
      <c r="V15" s="6"/>
      <c r="W15" s="6"/>
      <c r="X15" s="6"/>
      <c r="Y15" s="14"/>
    </row>
    <row r="16" spans="1:26" x14ac:dyDescent="0.25">
      <c r="B16" s="5"/>
      <c r="C16" s="6"/>
      <c r="D16" s="6"/>
      <c r="E16" s="6"/>
      <c r="F16" s="702"/>
      <c r="G16" s="703"/>
      <c r="H16" s="703"/>
      <c r="I16" s="703"/>
      <c r="J16" s="703"/>
      <c r="K16" s="703"/>
      <c r="L16" s="704"/>
      <c r="M16" s="6"/>
      <c r="O16" s="6"/>
      <c r="P16" s="6"/>
      <c r="Q16" s="6"/>
      <c r="R16" s="707"/>
      <c r="S16" s="708"/>
      <c r="T16" s="708"/>
      <c r="U16" s="708"/>
      <c r="V16" s="709"/>
      <c r="Y16" s="14"/>
    </row>
    <row r="17" spans="2:25" x14ac:dyDescent="0.25">
      <c r="B17" s="5"/>
      <c r="C17" s="6"/>
      <c r="D17" s="6"/>
      <c r="E17" s="6"/>
      <c r="F17" s="6"/>
      <c r="G17" s="6"/>
      <c r="H17" s="6"/>
      <c r="I17" s="6"/>
      <c r="J17" s="6"/>
      <c r="K17" s="6"/>
      <c r="L17" s="6"/>
      <c r="M17" s="6"/>
      <c r="N17" s="6"/>
      <c r="O17" s="6"/>
      <c r="P17" s="6"/>
      <c r="Q17" s="6"/>
      <c r="R17" s="6"/>
      <c r="S17" s="6"/>
      <c r="Y17" s="14"/>
    </row>
    <row r="18" spans="2:25" x14ac:dyDescent="0.25">
      <c r="B18" s="5"/>
      <c r="C18" s="6"/>
      <c r="D18" s="6"/>
      <c r="E18" s="6"/>
      <c r="F18" s="693"/>
      <c r="G18" s="694"/>
      <c r="H18" s="694"/>
      <c r="I18" s="694"/>
      <c r="J18" s="694"/>
      <c r="K18" s="694"/>
      <c r="L18" s="695"/>
      <c r="M18" s="6"/>
      <c r="N18" s="6"/>
      <c r="O18" s="6"/>
      <c r="P18" s="6"/>
      <c r="Q18" s="6"/>
      <c r="R18" s="707"/>
      <c r="S18" s="708"/>
      <c r="T18" s="708"/>
      <c r="U18" s="708"/>
      <c r="V18" s="709"/>
      <c r="Y18" s="14"/>
    </row>
    <row r="19" spans="2:25" x14ac:dyDescent="0.25">
      <c r="B19" s="5"/>
      <c r="C19" s="6"/>
      <c r="D19" s="6"/>
      <c r="E19" s="6"/>
      <c r="F19" s="196"/>
      <c r="G19" s="196"/>
      <c r="H19" s="196"/>
      <c r="I19" s="196"/>
      <c r="J19" s="196"/>
      <c r="K19" s="196"/>
      <c r="L19" s="196"/>
      <c r="M19" s="6"/>
      <c r="O19" s="6"/>
      <c r="P19" s="6"/>
      <c r="Q19" s="6"/>
      <c r="R19" s="6"/>
      <c r="S19" s="6"/>
      <c r="Y19" s="14"/>
    </row>
    <row r="20" spans="2:25" s="499" customFormat="1" x14ac:dyDescent="0.25">
      <c r="B20" s="5"/>
      <c r="C20" s="173" t="s">
        <v>2597</v>
      </c>
      <c r="D20" s="6"/>
      <c r="E20" s="6"/>
      <c r="F20" s="173" t="s">
        <v>2598</v>
      </c>
      <c r="G20" s="196"/>
      <c r="H20" s="196"/>
      <c r="I20" s="196"/>
      <c r="J20" s="196"/>
      <c r="K20" s="196"/>
      <c r="L20" s="196"/>
      <c r="M20" s="6"/>
      <c r="N20" s="173"/>
      <c r="O20" s="6"/>
      <c r="P20" s="6"/>
      <c r="Q20" s="6"/>
      <c r="R20" s="707"/>
      <c r="S20" s="708"/>
      <c r="T20" s="708"/>
      <c r="U20" s="708"/>
      <c r="V20" s="709"/>
      <c r="Y20" s="14"/>
    </row>
    <row r="21" spans="2:25" s="499" customFormat="1" x14ac:dyDescent="0.25">
      <c r="B21" s="5"/>
      <c r="C21" s="6"/>
      <c r="D21" s="6"/>
      <c r="E21" s="6"/>
      <c r="F21" s="196"/>
      <c r="G21" s="196"/>
      <c r="H21" s="196"/>
      <c r="I21" s="196"/>
      <c r="J21" s="196"/>
      <c r="K21" s="196"/>
      <c r="L21" s="196"/>
      <c r="M21" s="6"/>
      <c r="N21" s="173"/>
      <c r="O21" s="6"/>
      <c r="P21" s="6"/>
      <c r="Q21" s="6"/>
      <c r="R21" s="6"/>
      <c r="S21" s="6"/>
      <c r="Y21" s="14"/>
    </row>
    <row r="22" spans="2:25" x14ac:dyDescent="0.25">
      <c r="B22" s="5"/>
      <c r="C22" s="6"/>
      <c r="D22" s="6"/>
      <c r="E22" s="6"/>
      <c r="F22" s="705"/>
      <c r="G22" s="706"/>
      <c r="H22" s="196"/>
      <c r="I22" s="491" t="s">
        <v>2331</v>
      </c>
      <c r="J22" s="196"/>
      <c r="K22" s="196"/>
      <c r="L22" s="196"/>
      <c r="M22" s="6"/>
      <c r="O22" s="6"/>
      <c r="P22" s="6"/>
      <c r="Q22" s="6"/>
      <c r="R22" s="710"/>
      <c r="S22" s="711"/>
      <c r="V22" s="6"/>
      <c r="W22" s="6"/>
      <c r="X22" s="6"/>
      <c r="Y22" s="14"/>
    </row>
    <row r="23" spans="2:25" x14ac:dyDescent="0.25">
      <c r="B23" s="5"/>
      <c r="C23" s="6"/>
      <c r="D23" s="6"/>
      <c r="E23" s="6"/>
      <c r="F23" s="196"/>
      <c r="G23" s="196"/>
      <c r="H23" s="196"/>
      <c r="I23" s="196"/>
      <c r="J23" s="196"/>
      <c r="K23" s="196"/>
      <c r="L23" s="196"/>
      <c r="M23" s="6"/>
      <c r="N23" s="6"/>
      <c r="O23" s="6"/>
      <c r="P23" s="6"/>
      <c r="Q23" s="6"/>
      <c r="R23" s="6"/>
      <c r="S23" s="6"/>
      <c r="V23" s="6"/>
      <c r="W23" s="6"/>
      <c r="X23" s="6"/>
      <c r="Y23" s="14"/>
    </row>
    <row r="24" spans="2:25" x14ac:dyDescent="0.25">
      <c r="B24" s="5"/>
      <c r="C24" s="6"/>
      <c r="D24" s="6"/>
      <c r="E24" s="6"/>
      <c r="F24" s="697"/>
      <c r="G24" s="698"/>
      <c r="H24" s="698"/>
      <c r="I24" s="698"/>
      <c r="J24" s="698"/>
      <c r="K24" s="698"/>
      <c r="L24" s="699"/>
      <c r="M24" s="6"/>
      <c r="N24" s="6"/>
      <c r="O24" s="6"/>
      <c r="P24" s="6"/>
      <c r="Q24" s="6"/>
      <c r="R24" s="707"/>
      <c r="S24" s="708"/>
      <c r="T24" s="708"/>
      <c r="U24" s="708"/>
      <c r="V24" s="709"/>
      <c r="Y24" s="14"/>
    </row>
    <row r="25" spans="2:25" ht="15.75" thickBot="1" x14ac:dyDescent="0.3">
      <c r="B25" s="7"/>
      <c r="C25" s="8"/>
      <c r="D25" s="8"/>
      <c r="E25" s="8"/>
      <c r="F25" s="8"/>
      <c r="G25" s="8"/>
      <c r="H25" s="8"/>
      <c r="I25" s="8"/>
      <c r="J25" s="8"/>
      <c r="K25" s="8"/>
      <c r="L25" s="8"/>
      <c r="M25" s="16"/>
      <c r="N25" s="16"/>
      <c r="O25" s="16"/>
      <c r="P25" s="16"/>
      <c r="Q25" s="16"/>
      <c r="R25" s="16"/>
      <c r="S25" s="16"/>
      <c r="T25" s="16"/>
      <c r="U25" s="16"/>
      <c r="V25" s="16"/>
      <c r="W25" s="16"/>
      <c r="X25" s="16"/>
      <c r="Y25" s="17"/>
    </row>
    <row r="29" spans="2:25" ht="15.75" thickBot="1" x14ac:dyDescent="0.3"/>
    <row r="30" spans="2:25" x14ac:dyDescent="0.25">
      <c r="B30" s="10"/>
      <c r="C30" s="11"/>
      <c r="D30" s="11"/>
      <c r="E30" s="11"/>
      <c r="F30" s="11"/>
      <c r="G30" s="11"/>
      <c r="H30" s="11"/>
      <c r="I30" s="11"/>
      <c r="J30" s="11"/>
      <c r="K30" s="11"/>
      <c r="L30" s="11"/>
      <c r="M30" s="11"/>
      <c r="N30" s="11"/>
      <c r="O30" s="11"/>
      <c r="P30" s="11"/>
      <c r="Q30" s="11"/>
      <c r="R30" s="11"/>
      <c r="S30" s="11"/>
      <c r="T30" s="11"/>
      <c r="U30" s="11"/>
      <c r="V30" s="11"/>
      <c r="W30" s="11"/>
      <c r="X30" s="11"/>
      <c r="Y30" s="12"/>
    </row>
    <row r="31" spans="2:25" x14ac:dyDescent="0.25">
      <c r="B31" s="13"/>
      <c r="C31" s="6"/>
      <c r="D31" s="6"/>
      <c r="E31" s="6"/>
      <c r="F31" s="6"/>
      <c r="G31" s="6"/>
      <c r="H31" s="6"/>
      <c r="I31" s="6"/>
      <c r="J31" s="6"/>
      <c r="K31" s="6"/>
      <c r="L31" s="6"/>
      <c r="M31" s="6"/>
      <c r="N31" s="6"/>
      <c r="O31" s="6"/>
      <c r="P31" s="6"/>
      <c r="Q31" s="6"/>
      <c r="R31" s="6"/>
      <c r="S31" s="6"/>
      <c r="T31" s="6"/>
      <c r="U31" s="6"/>
      <c r="V31" s="6"/>
      <c r="W31" s="6"/>
      <c r="X31" s="6"/>
      <c r="Y31" s="14"/>
    </row>
    <row r="32" spans="2:25" x14ac:dyDescent="0.25">
      <c r="B32" s="13"/>
      <c r="C32" s="6"/>
      <c r="D32" s="6"/>
      <c r="E32" s="6"/>
      <c r="F32" s="693"/>
      <c r="G32" s="694"/>
      <c r="H32" s="694"/>
      <c r="I32" s="694"/>
      <c r="J32" s="694"/>
      <c r="K32" s="694"/>
      <c r="L32" s="695"/>
      <c r="M32" s="6"/>
      <c r="N32" s="6"/>
      <c r="O32" s="6"/>
      <c r="P32" s="6"/>
      <c r="Q32" s="6"/>
      <c r="R32" s="697"/>
      <c r="S32" s="698"/>
      <c r="T32" s="698"/>
      <c r="U32" s="698"/>
      <c r="V32" s="699"/>
      <c r="W32" s="6"/>
      <c r="X32" s="6"/>
      <c r="Y32" s="14"/>
    </row>
    <row r="33" spans="2:25" x14ac:dyDescent="0.25">
      <c r="B33" s="13"/>
      <c r="C33" s="6"/>
      <c r="D33" s="6"/>
      <c r="E33" s="6"/>
      <c r="F33" s="6"/>
      <c r="G33" s="6"/>
      <c r="H33" s="6"/>
      <c r="I33" s="6"/>
      <c r="J33" s="6"/>
      <c r="K33" s="6"/>
      <c r="L33" s="6"/>
      <c r="M33" s="6"/>
      <c r="N33" s="6"/>
      <c r="O33" s="6"/>
      <c r="P33" s="6"/>
      <c r="Q33" s="6"/>
      <c r="R33" s="6"/>
      <c r="S33" s="6"/>
      <c r="T33" s="6"/>
      <c r="U33" s="6"/>
      <c r="V33" s="6"/>
      <c r="W33" s="6"/>
      <c r="X33" s="6"/>
      <c r="Y33" s="14"/>
    </row>
    <row r="34" spans="2:25" x14ac:dyDescent="0.25">
      <c r="B34" s="13"/>
      <c r="C34" s="6"/>
      <c r="D34" s="6"/>
      <c r="E34" s="6"/>
      <c r="F34" s="693"/>
      <c r="G34" s="694"/>
      <c r="H34" s="694"/>
      <c r="I34" s="694"/>
      <c r="J34" s="694"/>
      <c r="K34" s="694"/>
      <c r="L34" s="695"/>
      <c r="M34" s="6"/>
      <c r="N34" s="6"/>
      <c r="O34" s="6"/>
      <c r="P34" s="6"/>
      <c r="Q34" s="6"/>
      <c r="R34" s="721" t="str">
        <f>IFERROR(INDEX(Paramètres!BH:BH,MATCH(R32,Paramètres!BI:BI,0)),"")</f>
        <v/>
      </c>
      <c r="S34" s="722"/>
      <c r="T34" s="722"/>
      <c r="U34" s="722"/>
      <c r="V34" s="723"/>
      <c r="W34" s="6"/>
      <c r="X34" s="6"/>
      <c r="Y34" s="14"/>
    </row>
    <row r="35" spans="2:25" x14ac:dyDescent="0.25">
      <c r="B35" s="13"/>
      <c r="C35" s="6"/>
      <c r="D35" s="6"/>
      <c r="E35" s="6"/>
      <c r="F35" s="6"/>
      <c r="G35" s="6"/>
      <c r="H35" s="6"/>
      <c r="I35" s="6"/>
      <c r="J35" s="6"/>
      <c r="K35" s="6"/>
      <c r="L35" s="6"/>
      <c r="M35" s="6"/>
      <c r="N35" s="6"/>
      <c r="O35" s="6"/>
      <c r="P35" s="6"/>
      <c r="Q35" s="6"/>
      <c r="R35" s="6"/>
      <c r="S35" s="363"/>
      <c r="T35" s="6"/>
      <c r="U35" s="6"/>
      <c r="V35" s="6"/>
      <c r="W35" s="6"/>
      <c r="X35" s="6"/>
      <c r="Y35" s="14"/>
    </row>
    <row r="36" spans="2:25" x14ac:dyDescent="0.25">
      <c r="B36" s="13"/>
      <c r="C36" s="6"/>
      <c r="D36" s="6"/>
      <c r="E36" s="6"/>
      <c r="F36" s="715"/>
      <c r="G36" s="716"/>
      <c r="H36" s="716"/>
      <c r="I36" s="717"/>
      <c r="J36" s="6"/>
      <c r="K36" s="6"/>
      <c r="L36" s="6"/>
      <c r="M36" s="6"/>
      <c r="N36" s="6"/>
      <c r="O36" s="6"/>
      <c r="P36" s="6"/>
      <c r="Q36" s="6"/>
      <c r="R36" s="724" t="str">
        <f>IFERROR(INDEX(Paramètres!BG:BG,MATCH(R32,Paramètres!BI:BI,0)),"")</f>
        <v/>
      </c>
      <c r="S36" s="725"/>
      <c r="T36" s="725"/>
      <c r="U36" s="725"/>
      <c r="V36" s="726"/>
      <c r="W36" s="6"/>
      <c r="X36" s="6"/>
      <c r="Y36" s="14"/>
    </row>
    <row r="37" spans="2:25" x14ac:dyDescent="0.25">
      <c r="B37" s="13"/>
      <c r="C37" s="6"/>
      <c r="D37" s="6"/>
      <c r="E37" s="6"/>
      <c r="F37" s="6"/>
      <c r="G37" s="6"/>
      <c r="H37" s="6"/>
      <c r="I37" s="6"/>
      <c r="J37" s="6"/>
      <c r="K37" s="6"/>
      <c r="L37" s="6"/>
      <c r="M37" s="6"/>
      <c r="N37" s="6"/>
      <c r="O37" s="6"/>
      <c r="P37" s="6"/>
      <c r="Q37" s="6"/>
      <c r="R37" s="6"/>
      <c r="S37" s="6"/>
      <c r="T37" s="6"/>
      <c r="U37" s="6"/>
      <c r="V37" s="6"/>
      <c r="W37" s="6"/>
      <c r="X37" s="6"/>
      <c r="Y37" s="14"/>
    </row>
    <row r="38" spans="2:25" x14ac:dyDescent="0.25">
      <c r="B38" s="13"/>
      <c r="C38" s="6"/>
      <c r="D38" s="6"/>
      <c r="E38" s="6"/>
      <c r="F38" s="697"/>
      <c r="G38" s="698"/>
      <c r="H38" s="698"/>
      <c r="I38" s="699"/>
      <c r="J38" s="6"/>
      <c r="K38" s="6"/>
      <c r="L38" s="6"/>
      <c r="M38" s="6"/>
      <c r="N38" s="6"/>
      <c r="O38" s="6"/>
      <c r="P38" s="6"/>
      <c r="Q38" s="6"/>
      <c r="R38" s="6"/>
      <c r="S38" s="6"/>
      <c r="T38" s="6"/>
      <c r="U38" s="6"/>
      <c r="V38" s="6"/>
      <c r="W38" s="6"/>
      <c r="X38" s="6"/>
      <c r="Y38" s="14"/>
    </row>
    <row r="39" spans="2:25" x14ac:dyDescent="0.25">
      <c r="B39" s="13"/>
      <c r="C39" s="6"/>
      <c r="D39" s="6"/>
      <c r="E39" s="6"/>
      <c r="F39" s="6"/>
      <c r="G39" s="6"/>
      <c r="H39" s="6"/>
      <c r="I39" s="6"/>
      <c r="J39" s="6"/>
      <c r="K39" s="6"/>
      <c r="L39" s="6"/>
      <c r="M39" s="6"/>
      <c r="N39" s="6"/>
      <c r="O39" s="6"/>
      <c r="P39" s="6"/>
      <c r="Q39" s="6"/>
      <c r="R39" s="6"/>
      <c r="S39" s="6"/>
      <c r="T39" s="6"/>
      <c r="U39" s="6"/>
      <c r="V39" s="6"/>
      <c r="W39" s="6"/>
      <c r="X39" s="6"/>
      <c r="Y39" s="14"/>
    </row>
    <row r="40" spans="2:25" x14ac:dyDescent="0.25">
      <c r="B40" s="13"/>
      <c r="C40" s="6"/>
      <c r="D40" s="6"/>
      <c r="E40" s="6"/>
      <c r="F40" s="388"/>
      <c r="G40" s="6"/>
      <c r="H40" s="6"/>
      <c r="I40" s="6"/>
      <c r="J40" s="6"/>
      <c r="K40" s="6"/>
      <c r="L40" s="6"/>
      <c r="M40" s="6"/>
      <c r="N40" s="6"/>
      <c r="O40" s="6"/>
      <c r="P40" s="6"/>
      <c r="Q40" s="6"/>
      <c r="R40" s="6"/>
      <c r="S40" s="6"/>
      <c r="T40" s="6"/>
      <c r="U40" s="6"/>
      <c r="V40" s="6"/>
      <c r="W40" s="6"/>
      <c r="X40" s="6"/>
      <c r="Y40" s="14"/>
    </row>
    <row r="41" spans="2:25" x14ac:dyDescent="0.25">
      <c r="B41" s="13"/>
      <c r="C41" s="6"/>
      <c r="D41" s="6"/>
      <c r="E41" s="6"/>
      <c r="F41" s="6"/>
      <c r="G41" s="6"/>
      <c r="H41" s="6"/>
      <c r="I41" s="6"/>
      <c r="J41" s="6"/>
      <c r="K41" s="6"/>
      <c r="L41" s="6"/>
      <c r="M41" s="6"/>
      <c r="N41" s="6"/>
      <c r="O41" s="6"/>
      <c r="P41" s="6"/>
      <c r="Q41" s="6"/>
      <c r="R41" s="6"/>
      <c r="S41" s="6"/>
      <c r="T41" s="6"/>
      <c r="U41" s="6"/>
      <c r="V41" s="6"/>
      <c r="W41" s="6"/>
      <c r="X41" s="6"/>
      <c r="Y41" s="14"/>
    </row>
    <row r="42" spans="2:25" x14ac:dyDescent="0.25">
      <c r="B42" s="13"/>
      <c r="C42" s="6"/>
      <c r="D42" s="6"/>
      <c r="E42" s="6"/>
      <c r="F42" s="6"/>
      <c r="G42" s="6"/>
      <c r="H42" s="6"/>
      <c r="I42" s="6"/>
      <c r="J42" s="6"/>
      <c r="K42" s="6"/>
      <c r="L42" s="6"/>
      <c r="M42" s="6"/>
      <c r="N42" s="6"/>
      <c r="O42" s="6"/>
      <c r="P42" s="6"/>
      <c r="Q42" s="6"/>
      <c r="R42" s="6"/>
      <c r="S42" s="6"/>
      <c r="T42" s="6"/>
      <c r="U42" s="6"/>
      <c r="V42" s="6"/>
      <c r="W42" s="6"/>
      <c r="X42" s="6"/>
      <c r="Y42" s="14"/>
    </row>
    <row r="43" spans="2:25" x14ac:dyDescent="0.25">
      <c r="B43" s="13"/>
      <c r="C43" s="6"/>
      <c r="D43" s="6"/>
      <c r="E43" s="6"/>
      <c r="F43" s="693"/>
      <c r="G43" s="694"/>
      <c r="H43" s="694"/>
      <c r="I43" s="694"/>
      <c r="J43" s="694"/>
      <c r="K43" s="694"/>
      <c r="L43" s="695"/>
      <c r="M43" s="6"/>
      <c r="N43" s="6"/>
      <c r="O43" s="6"/>
      <c r="P43" s="6"/>
      <c r="Q43" s="6"/>
      <c r="R43" s="720"/>
      <c r="S43" s="720"/>
      <c r="T43" s="720"/>
      <c r="U43" s="720"/>
      <c r="V43" s="9"/>
      <c r="W43" s="9"/>
      <c r="X43" s="9"/>
      <c r="Y43" s="14"/>
    </row>
    <row r="44" spans="2:25" x14ac:dyDescent="0.25">
      <c r="B44" s="13"/>
      <c r="C44" s="6"/>
      <c r="D44" s="6"/>
      <c r="E44" s="6"/>
      <c r="F44" s="6"/>
      <c r="G44" s="6"/>
      <c r="H44" s="6"/>
      <c r="I44" s="6"/>
      <c r="J44" s="6"/>
      <c r="K44" s="6"/>
      <c r="L44" s="6"/>
      <c r="M44" s="6"/>
      <c r="N44" s="6"/>
      <c r="O44" s="6"/>
      <c r="P44" s="6"/>
      <c r="Q44" s="6"/>
      <c r="R44" s="6"/>
      <c r="S44" s="6"/>
      <c r="T44" s="6"/>
      <c r="U44" s="6"/>
      <c r="V44" s="6"/>
      <c r="W44" s="6"/>
      <c r="X44" s="6"/>
      <c r="Y44" s="14"/>
    </row>
    <row r="45" spans="2:25" x14ac:dyDescent="0.25">
      <c r="B45" s="13"/>
      <c r="C45" s="6"/>
      <c r="D45" s="6"/>
      <c r="E45" s="6"/>
      <c r="F45" s="693"/>
      <c r="G45" s="694"/>
      <c r="H45" s="694"/>
      <c r="I45" s="694"/>
      <c r="J45" s="694"/>
      <c r="K45" s="694"/>
      <c r="L45" s="695"/>
      <c r="M45" s="6"/>
      <c r="N45" s="6"/>
      <c r="O45" s="6"/>
      <c r="P45" s="6"/>
      <c r="Q45" s="6"/>
      <c r="R45" s="712"/>
      <c r="S45" s="713"/>
      <c r="T45" s="713"/>
      <c r="U45" s="713"/>
      <c r="V45" s="713"/>
      <c r="W45" s="713"/>
      <c r="X45" s="713"/>
      <c r="Y45" s="14"/>
    </row>
    <row r="46" spans="2:25" x14ac:dyDescent="0.25">
      <c r="B46" s="13"/>
      <c r="C46" s="6"/>
      <c r="D46" s="6"/>
      <c r="E46" s="6"/>
      <c r="F46" s="6"/>
      <c r="G46" s="6"/>
      <c r="H46" s="6"/>
      <c r="I46" s="6"/>
      <c r="J46" s="6"/>
      <c r="K46" s="6"/>
      <c r="L46" s="6"/>
      <c r="M46" s="6"/>
      <c r="N46" s="6"/>
      <c r="O46" s="6"/>
      <c r="P46" s="6"/>
      <c r="Q46" s="6"/>
      <c r="R46" s="6"/>
      <c r="S46" s="6"/>
      <c r="T46" s="6"/>
      <c r="U46" s="6"/>
      <c r="V46" s="6"/>
      <c r="W46" s="6"/>
      <c r="X46" s="6"/>
      <c r="Y46" s="14"/>
    </row>
    <row r="47" spans="2:25" x14ac:dyDescent="0.25">
      <c r="B47" s="13"/>
      <c r="C47" s="6"/>
      <c r="D47" s="6"/>
      <c r="E47" s="6"/>
      <c r="F47" s="718"/>
      <c r="G47" s="719"/>
      <c r="H47" s="6"/>
      <c r="I47" s="6"/>
      <c r="J47" s="6"/>
      <c r="K47" s="6"/>
      <c r="L47" s="6"/>
      <c r="M47" s="6"/>
      <c r="N47" s="6"/>
      <c r="O47" s="6"/>
      <c r="P47" s="6"/>
      <c r="Q47" s="6"/>
      <c r="R47" s="713"/>
      <c r="S47" s="713"/>
      <c r="T47" s="713"/>
      <c r="U47" s="713"/>
      <c r="V47" s="713"/>
      <c r="W47" s="713"/>
      <c r="X47" s="713"/>
      <c r="Y47" s="14"/>
    </row>
    <row r="48" spans="2:25" x14ac:dyDescent="0.25">
      <c r="B48" s="13"/>
      <c r="C48" s="6"/>
      <c r="D48" s="6"/>
      <c r="E48" s="6"/>
      <c r="F48" s="6"/>
      <c r="G48" s="6"/>
      <c r="H48" s="6"/>
      <c r="I48" s="6"/>
      <c r="J48" s="6"/>
      <c r="K48" s="6"/>
      <c r="L48" s="6"/>
      <c r="M48" s="6"/>
      <c r="N48" s="6"/>
      <c r="O48" s="6"/>
      <c r="P48" s="6"/>
      <c r="Q48" s="6"/>
      <c r="R48" s="6"/>
      <c r="S48" s="6"/>
      <c r="T48" s="6"/>
      <c r="U48" s="6"/>
      <c r="V48" s="6"/>
      <c r="W48" s="6"/>
      <c r="X48" s="6"/>
      <c r="Y48" s="14"/>
    </row>
    <row r="49" spans="2:25" x14ac:dyDescent="0.25">
      <c r="B49" s="13"/>
      <c r="C49" s="6"/>
      <c r="D49" s="6"/>
      <c r="E49" s="6"/>
      <c r="F49" s="693"/>
      <c r="G49" s="694"/>
      <c r="H49" s="694"/>
      <c r="I49" s="694"/>
      <c r="J49" s="694"/>
      <c r="K49" s="694"/>
      <c r="L49" s="695"/>
      <c r="M49" s="6"/>
      <c r="N49" s="6"/>
      <c r="O49" s="6"/>
      <c r="P49" s="6"/>
      <c r="Q49" s="6"/>
      <c r="R49" s="6"/>
      <c r="S49" s="6"/>
      <c r="T49" s="6"/>
      <c r="U49" s="6"/>
      <c r="V49" s="714"/>
      <c r="W49" s="714"/>
      <c r="X49" s="6"/>
      <c r="Y49" s="14"/>
    </row>
    <row r="50" spans="2:25" ht="15.75" thickBot="1" x14ac:dyDescent="0.3">
      <c r="B50" s="15"/>
      <c r="C50" s="16"/>
      <c r="D50" s="16"/>
      <c r="E50" s="16"/>
      <c r="F50" s="16"/>
      <c r="G50" s="16"/>
      <c r="H50" s="16"/>
      <c r="I50" s="16"/>
      <c r="J50" s="16"/>
      <c r="K50" s="16"/>
      <c r="L50" s="16"/>
      <c r="M50" s="16"/>
      <c r="N50" s="16"/>
      <c r="O50" s="16"/>
      <c r="P50" s="16"/>
      <c r="Q50" s="16"/>
      <c r="R50" s="16"/>
      <c r="S50" s="16"/>
      <c r="T50" s="16"/>
      <c r="U50" s="16"/>
      <c r="V50" s="16"/>
      <c r="W50" s="16"/>
      <c r="X50" s="16"/>
      <c r="Y50" s="17"/>
    </row>
    <row r="53" spans="2:25" ht="15.75" thickBot="1" x14ac:dyDescent="0.3"/>
    <row r="54" spans="2:25" x14ac:dyDescent="0.25">
      <c r="B54" s="18"/>
      <c r="C54" s="19"/>
      <c r="D54" s="19"/>
      <c r="E54" s="19"/>
      <c r="F54" s="19"/>
      <c r="G54" s="19"/>
      <c r="H54" s="19"/>
      <c r="I54" s="19"/>
      <c r="J54" s="19"/>
      <c r="K54" s="19"/>
      <c r="L54" s="19"/>
      <c r="M54" s="19"/>
      <c r="N54" s="19"/>
      <c r="O54" s="19"/>
      <c r="P54" s="19"/>
      <c r="Q54" s="19"/>
      <c r="R54" s="19"/>
      <c r="S54" s="19"/>
      <c r="T54" s="19"/>
      <c r="U54" s="19"/>
      <c r="V54" s="19"/>
      <c r="W54" s="19"/>
      <c r="X54" s="19"/>
      <c r="Y54" s="20"/>
    </row>
    <row r="55" spans="2:25" x14ac:dyDescent="0.25">
      <c r="B55" s="21"/>
      <c r="C55" s="6"/>
      <c r="D55" s="6"/>
      <c r="E55" s="6"/>
      <c r="F55" s="6"/>
      <c r="G55" s="6"/>
      <c r="H55" s="6"/>
      <c r="I55" s="6"/>
      <c r="J55" s="6"/>
      <c r="K55" s="6"/>
      <c r="L55" s="6"/>
      <c r="M55" s="6"/>
      <c r="N55" s="6"/>
      <c r="O55" s="6"/>
      <c r="P55" s="6"/>
      <c r="Q55" s="6"/>
      <c r="R55" s="6"/>
      <c r="S55" s="6"/>
      <c r="T55" s="6"/>
      <c r="U55" s="6"/>
      <c r="V55" s="6"/>
      <c r="W55" s="6"/>
      <c r="X55" s="6"/>
      <c r="Y55" s="22"/>
    </row>
    <row r="56" spans="2:25" x14ac:dyDescent="0.25">
      <c r="B56" s="21"/>
      <c r="C56" s="6"/>
      <c r="D56" s="6"/>
      <c r="E56" s="6"/>
      <c r="F56" s="693"/>
      <c r="G56" s="694"/>
      <c r="H56" s="694"/>
      <c r="I56" s="695"/>
      <c r="J56" s="6"/>
      <c r="K56" s="6"/>
      <c r="L56" s="6"/>
      <c r="M56" s="6"/>
      <c r="N56" s="6"/>
      <c r="O56" s="6"/>
      <c r="P56" s="6"/>
      <c r="Q56" s="6"/>
      <c r="R56" s="6"/>
      <c r="S56" s="6"/>
      <c r="T56" s="6"/>
      <c r="U56" s="6"/>
      <c r="V56" s="6"/>
      <c r="W56" s="6"/>
      <c r="X56" s="6"/>
      <c r="Y56" s="22"/>
    </row>
    <row r="57" spans="2:25" x14ac:dyDescent="0.25">
      <c r="B57" s="21"/>
      <c r="C57" s="6"/>
      <c r="D57" s="6"/>
      <c r="E57" s="6"/>
      <c r="F57" s="6"/>
      <c r="G57" s="6"/>
      <c r="H57" s="6"/>
      <c r="I57" s="6"/>
      <c r="J57" s="6"/>
      <c r="K57" s="6"/>
      <c r="L57" s="6"/>
      <c r="M57" s="6"/>
      <c r="N57" s="6"/>
      <c r="O57" s="6"/>
      <c r="P57" s="6"/>
      <c r="Q57" s="6"/>
      <c r="R57" s="6"/>
      <c r="S57" s="6"/>
      <c r="T57" s="6"/>
      <c r="U57" s="6"/>
      <c r="V57" s="6"/>
      <c r="W57" s="6"/>
      <c r="X57" s="6"/>
      <c r="Y57" s="22"/>
    </row>
    <row r="58" spans="2:25" x14ac:dyDescent="0.25">
      <c r="B58" s="21"/>
      <c r="C58" s="6"/>
      <c r="D58" s="6"/>
      <c r="E58" s="6"/>
      <c r="F58" s="6"/>
      <c r="G58" s="6"/>
      <c r="H58" s="6"/>
      <c r="I58" s="6"/>
      <c r="J58" s="6"/>
      <c r="K58" s="6"/>
      <c r="L58" s="6"/>
      <c r="M58" s="6"/>
      <c r="N58" s="6"/>
      <c r="O58" s="6"/>
      <c r="P58" s="6"/>
      <c r="Q58" s="6"/>
      <c r="R58" s="6"/>
      <c r="S58" s="6"/>
      <c r="T58" s="6"/>
      <c r="U58" s="6"/>
      <c r="V58" s="6"/>
      <c r="W58" s="6"/>
      <c r="X58" s="6"/>
      <c r="Y58" s="22"/>
    </row>
    <row r="59" spans="2:25" x14ac:dyDescent="0.25">
      <c r="B59" s="21"/>
      <c r="C59" s="6"/>
      <c r="D59" s="6"/>
      <c r="E59" s="6"/>
      <c r="F59" s="6"/>
      <c r="G59" s="6"/>
      <c r="H59" s="6"/>
      <c r="I59" s="6"/>
      <c r="J59" s="6"/>
      <c r="K59" s="6"/>
      <c r="L59" s="6"/>
      <c r="M59" s="6"/>
      <c r="N59" s="6"/>
      <c r="O59" s="6"/>
      <c r="P59" s="6"/>
      <c r="Q59" s="6"/>
      <c r="R59" s="6"/>
      <c r="S59" s="6"/>
      <c r="T59" s="6"/>
      <c r="U59" s="6"/>
      <c r="V59" s="6"/>
      <c r="W59" s="6"/>
      <c r="X59" s="6"/>
      <c r="Y59" s="22"/>
    </row>
    <row r="60" spans="2:25" x14ac:dyDescent="0.25">
      <c r="B60" s="21"/>
      <c r="C60" s="6"/>
      <c r="D60" s="6"/>
      <c r="E60" s="6"/>
      <c r="F60" s="6"/>
      <c r="G60" s="6"/>
      <c r="H60" s="6"/>
      <c r="I60" s="6"/>
      <c r="J60" s="6"/>
      <c r="K60" s="6"/>
      <c r="L60" s="6"/>
      <c r="M60" s="6"/>
      <c r="N60" s="6"/>
      <c r="O60" s="6"/>
      <c r="P60" s="6"/>
      <c r="Q60" s="6"/>
      <c r="R60" s="6"/>
      <c r="S60" s="6"/>
      <c r="T60" s="6"/>
      <c r="U60" s="6"/>
      <c r="V60" s="6"/>
      <c r="W60" s="6"/>
      <c r="X60" s="6"/>
      <c r="Y60" s="22"/>
    </row>
    <row r="61" spans="2:25" x14ac:dyDescent="0.25">
      <c r="B61" s="21"/>
      <c r="C61" s="6"/>
      <c r="D61" s="6"/>
      <c r="E61" s="6"/>
      <c r="F61" s="6"/>
      <c r="G61" s="6"/>
      <c r="H61" s="693"/>
      <c r="I61" s="694"/>
      <c r="J61" s="694"/>
      <c r="K61" s="694"/>
      <c r="L61" s="695"/>
      <c r="M61" s="6"/>
      <c r="N61" s="6"/>
      <c r="O61" s="6"/>
      <c r="P61" s="6"/>
      <c r="Q61" s="6"/>
      <c r="R61" s="6"/>
      <c r="S61" s="6"/>
      <c r="T61" s="693"/>
      <c r="U61" s="694"/>
      <c r="V61" s="694"/>
      <c r="W61" s="694"/>
      <c r="X61" s="695"/>
      <c r="Y61" s="22"/>
    </row>
    <row r="62" spans="2:25" x14ac:dyDescent="0.25">
      <c r="B62" s="21"/>
      <c r="C62" s="6"/>
      <c r="D62" s="6"/>
      <c r="E62" s="6"/>
      <c r="F62" s="6"/>
      <c r="G62" s="6"/>
      <c r="H62" s="6"/>
      <c r="I62" s="6"/>
      <c r="J62" s="6"/>
      <c r="K62" s="6"/>
      <c r="L62" s="6"/>
      <c r="M62" s="6"/>
      <c r="N62" s="6"/>
      <c r="O62" s="6"/>
      <c r="P62" s="6"/>
      <c r="Q62" s="6"/>
      <c r="R62" s="6"/>
      <c r="S62" s="6"/>
      <c r="T62" s="6"/>
      <c r="U62" s="6"/>
      <c r="V62" s="6"/>
      <c r="W62" s="6"/>
      <c r="X62" s="6"/>
      <c r="Y62" s="22"/>
    </row>
    <row r="63" spans="2:25" x14ac:dyDescent="0.25">
      <c r="B63" s="21"/>
      <c r="C63" s="6"/>
      <c r="D63" s="6"/>
      <c r="E63" s="6"/>
      <c r="F63" s="6"/>
      <c r="G63" s="6"/>
      <c r="H63" s="693"/>
      <c r="I63" s="694"/>
      <c r="J63" s="694"/>
      <c r="K63" s="694"/>
      <c r="L63" s="695"/>
      <c r="M63" s="6"/>
      <c r="N63" s="6"/>
      <c r="O63" s="6"/>
      <c r="P63" s="6"/>
      <c r="Q63" s="6"/>
      <c r="R63" s="6"/>
      <c r="S63" s="6"/>
      <c r="T63" s="693"/>
      <c r="U63" s="694"/>
      <c r="V63" s="694"/>
      <c r="W63" s="694"/>
      <c r="X63" s="695"/>
      <c r="Y63" s="22"/>
    </row>
    <row r="64" spans="2:25" x14ac:dyDescent="0.25">
      <c r="B64" s="21"/>
      <c r="C64" s="6"/>
      <c r="D64" s="6"/>
      <c r="E64" s="6"/>
      <c r="F64" s="6"/>
      <c r="G64" s="6"/>
      <c r="H64" s="6"/>
      <c r="I64" s="6"/>
      <c r="J64" s="6"/>
      <c r="K64" s="6"/>
      <c r="L64" s="6"/>
      <c r="M64" s="6"/>
      <c r="N64" s="6"/>
      <c r="O64" s="6"/>
      <c r="P64" s="6"/>
      <c r="Q64" s="6"/>
      <c r="R64" s="6"/>
      <c r="S64" s="6"/>
      <c r="T64" s="6"/>
      <c r="U64" s="6"/>
      <c r="V64" s="6"/>
      <c r="W64" s="6"/>
      <c r="X64" s="6"/>
      <c r="Y64" s="22"/>
    </row>
    <row r="65" spans="2:25" x14ac:dyDescent="0.25">
      <c r="B65" s="21"/>
      <c r="C65" s="6"/>
      <c r="D65" s="6"/>
      <c r="E65" s="6"/>
      <c r="F65" s="6"/>
      <c r="G65" s="6"/>
      <c r="H65" s="693"/>
      <c r="I65" s="694"/>
      <c r="J65" s="694"/>
      <c r="K65" s="694"/>
      <c r="L65" s="695"/>
      <c r="M65" s="6"/>
      <c r="N65" s="6"/>
      <c r="O65" s="6"/>
      <c r="P65" s="6"/>
      <c r="Q65" s="6"/>
      <c r="R65" s="6"/>
      <c r="S65" s="6"/>
      <c r="T65" s="693"/>
      <c r="U65" s="694"/>
      <c r="V65" s="694"/>
      <c r="W65" s="694"/>
      <c r="X65" s="695"/>
      <c r="Y65" s="22"/>
    </row>
    <row r="66" spans="2:25" x14ac:dyDescent="0.25">
      <c r="B66" s="21"/>
      <c r="C66" s="6"/>
      <c r="D66" s="6"/>
      <c r="E66" s="6"/>
      <c r="F66" s="6"/>
      <c r="G66" s="6"/>
      <c r="H66" s="6"/>
      <c r="I66" s="6"/>
      <c r="J66" s="6"/>
      <c r="K66" s="6"/>
      <c r="L66" s="6"/>
      <c r="M66" s="6"/>
      <c r="N66" s="6"/>
      <c r="O66" s="6"/>
      <c r="P66" s="6"/>
      <c r="Q66" s="6"/>
      <c r="R66" s="6"/>
      <c r="S66" s="6"/>
      <c r="T66" s="6"/>
      <c r="U66" s="6"/>
      <c r="V66" s="6"/>
      <c r="W66" s="6"/>
      <c r="X66" s="6"/>
      <c r="Y66" s="22"/>
    </row>
    <row r="67" spans="2:25" x14ac:dyDescent="0.25">
      <c r="B67" s="21"/>
      <c r="C67" s="6"/>
      <c r="D67" s="6"/>
      <c r="E67" s="6"/>
      <c r="F67" s="6"/>
      <c r="G67" s="6"/>
      <c r="H67" s="6"/>
      <c r="I67" s="6"/>
      <c r="J67" s="6"/>
      <c r="K67" s="6"/>
      <c r="L67" s="6"/>
      <c r="M67" s="6"/>
      <c r="N67" s="6"/>
      <c r="O67" s="6"/>
      <c r="P67" s="6"/>
      <c r="Q67" s="6"/>
      <c r="R67" s="6"/>
      <c r="S67" s="6"/>
      <c r="T67" s="6"/>
      <c r="U67" s="6"/>
      <c r="V67" s="6"/>
      <c r="W67" s="6"/>
      <c r="X67" s="6"/>
      <c r="Y67" s="22"/>
    </row>
    <row r="68" spans="2:25" x14ac:dyDescent="0.25">
      <c r="B68" s="21"/>
      <c r="C68" s="6"/>
      <c r="D68" s="6"/>
      <c r="E68" s="6"/>
      <c r="F68" s="6"/>
      <c r="G68" s="6"/>
      <c r="H68" s="6"/>
      <c r="I68" s="6"/>
      <c r="J68" s="6"/>
      <c r="K68" s="6"/>
      <c r="L68" s="6"/>
      <c r="M68" s="6"/>
      <c r="N68" s="6"/>
      <c r="O68" s="6"/>
      <c r="P68" s="6"/>
      <c r="Q68" s="6"/>
      <c r="R68" s="6"/>
      <c r="S68" s="6"/>
      <c r="T68" s="6"/>
      <c r="U68" s="6"/>
      <c r="V68" s="6"/>
      <c r="W68" s="6"/>
      <c r="X68" s="6"/>
      <c r="Y68" s="22"/>
    </row>
    <row r="69" spans="2:25" x14ac:dyDescent="0.25">
      <c r="B69" s="21"/>
      <c r="C69" s="6"/>
      <c r="D69" s="6"/>
      <c r="E69" s="6"/>
      <c r="F69" s="693"/>
      <c r="G69" s="694"/>
      <c r="H69" s="694"/>
      <c r="I69" s="695"/>
      <c r="J69" s="6"/>
      <c r="K69" s="6"/>
      <c r="L69" s="6"/>
      <c r="M69" s="6"/>
      <c r="N69" s="6"/>
      <c r="O69" s="6"/>
      <c r="P69" s="6"/>
      <c r="Q69" s="6"/>
      <c r="T69" s="6"/>
      <c r="U69" s="6"/>
      <c r="V69" s="6"/>
      <c r="W69" s="6"/>
      <c r="X69" s="6"/>
      <c r="Y69" s="22"/>
    </row>
    <row r="70" spans="2:25" x14ac:dyDescent="0.25">
      <c r="B70" s="21"/>
      <c r="C70" s="6"/>
      <c r="D70" s="6"/>
      <c r="E70" s="6"/>
      <c r="F70" s="196"/>
      <c r="G70" s="196"/>
      <c r="H70" s="196"/>
      <c r="I70" s="196"/>
      <c r="J70" s="6"/>
      <c r="K70" s="6"/>
      <c r="L70" s="6"/>
      <c r="M70" s="6"/>
      <c r="N70" s="6"/>
      <c r="O70" s="6"/>
      <c r="P70" s="6"/>
      <c r="Q70" s="6"/>
      <c r="R70" s="200"/>
      <c r="S70" s="200"/>
      <c r="T70" s="6"/>
      <c r="U70" s="6"/>
      <c r="V70" s="6"/>
      <c r="W70" s="6"/>
      <c r="X70" s="6"/>
      <c r="Y70" s="22"/>
    </row>
    <row r="71" spans="2:25" x14ac:dyDescent="0.25">
      <c r="B71" s="21"/>
      <c r="C71" s="6"/>
      <c r="D71" s="6"/>
      <c r="E71" s="6"/>
      <c r="F71" s="6"/>
      <c r="G71" s="6"/>
      <c r="H71" s="6"/>
      <c r="I71" s="6"/>
      <c r="J71" s="6"/>
      <c r="K71" s="6"/>
      <c r="L71" s="6"/>
      <c r="M71" s="6"/>
      <c r="N71" s="6"/>
      <c r="O71" s="6"/>
      <c r="P71" s="6"/>
      <c r="Q71" s="6"/>
      <c r="R71" s="6"/>
      <c r="S71" s="6"/>
      <c r="T71" s="6"/>
      <c r="U71" s="6"/>
      <c r="V71" s="6"/>
      <c r="W71" s="6"/>
      <c r="X71" s="6"/>
      <c r="Y71" s="22"/>
    </row>
    <row r="72" spans="2:25" x14ac:dyDescent="0.25">
      <c r="B72" s="21"/>
      <c r="C72" s="6"/>
      <c r="D72" s="6"/>
      <c r="E72" s="6"/>
      <c r="F72" s="714"/>
      <c r="G72" s="714"/>
      <c r="H72" s="363"/>
      <c r="I72" s="363"/>
      <c r="J72" s="363"/>
      <c r="K72" s="363"/>
      <c r="L72" s="363"/>
      <c r="M72" s="6"/>
      <c r="N72" s="6"/>
      <c r="O72" s="6"/>
      <c r="P72" s="6"/>
      <c r="Q72" s="6"/>
      <c r="T72" s="6"/>
      <c r="U72" s="6"/>
      <c r="V72" s="6"/>
      <c r="W72" s="6"/>
      <c r="X72" s="6"/>
      <c r="Y72" s="22"/>
    </row>
    <row r="73" spans="2:25" x14ac:dyDescent="0.25">
      <c r="B73" s="21"/>
      <c r="C73" s="6"/>
      <c r="D73" s="6"/>
      <c r="E73" s="6"/>
      <c r="F73" s="6"/>
      <c r="G73" s="6"/>
      <c r="H73" s="6"/>
      <c r="I73" s="6"/>
      <c r="J73" s="6"/>
      <c r="K73" s="6"/>
      <c r="L73" s="6"/>
      <c r="M73" s="6"/>
      <c r="N73" s="6"/>
      <c r="O73" s="6"/>
      <c r="P73" s="6"/>
      <c r="Q73" s="6"/>
      <c r="R73" s="6"/>
      <c r="S73" s="6"/>
      <c r="T73" s="6"/>
      <c r="U73" s="6"/>
      <c r="V73" s="6"/>
      <c r="W73" s="6"/>
      <c r="X73" s="6"/>
      <c r="Y73" s="22"/>
    </row>
    <row r="74" spans="2:25" ht="15.75" thickBot="1" x14ac:dyDescent="0.3">
      <c r="B74" s="24"/>
      <c r="C74" s="25"/>
      <c r="D74" s="25"/>
      <c r="E74" s="25"/>
      <c r="F74" s="25"/>
      <c r="G74" s="25"/>
      <c r="H74" s="25"/>
      <c r="I74" s="25"/>
      <c r="J74" s="25"/>
      <c r="K74" s="25"/>
      <c r="L74" s="25"/>
      <c r="M74" s="25"/>
      <c r="N74" s="25"/>
      <c r="O74" s="25"/>
      <c r="P74" s="25"/>
      <c r="Q74" s="25"/>
      <c r="R74" s="25"/>
      <c r="S74" s="25"/>
      <c r="T74" s="25"/>
      <c r="U74" s="25"/>
      <c r="V74" s="25"/>
      <c r="W74" s="25"/>
      <c r="X74" s="25"/>
      <c r="Y74" s="26"/>
    </row>
    <row r="77" spans="2:25" ht="15.75" thickBot="1" x14ac:dyDescent="0.3"/>
    <row r="78" spans="2:25" x14ac:dyDescent="0.25">
      <c r="B78" s="18"/>
      <c r="C78" s="19"/>
      <c r="D78" s="19"/>
      <c r="E78" s="19"/>
      <c r="F78" s="19"/>
      <c r="G78" s="19"/>
      <c r="H78" s="19"/>
      <c r="I78" s="19"/>
      <c r="J78" s="19"/>
      <c r="K78" s="19"/>
      <c r="L78" s="19"/>
      <c r="M78" s="19"/>
      <c r="N78" s="19"/>
      <c r="O78" s="19"/>
      <c r="P78" s="19"/>
      <c r="Q78" s="19"/>
      <c r="R78" s="19"/>
      <c r="S78" s="19"/>
      <c r="T78" s="19"/>
      <c r="U78" s="19"/>
      <c r="V78" s="19"/>
      <c r="W78" s="19"/>
      <c r="X78" s="19"/>
      <c r="Y78" s="20"/>
    </row>
    <row r="79" spans="2:25" x14ac:dyDescent="0.25">
      <c r="B79" s="21"/>
      <c r="C79" s="6"/>
      <c r="D79" s="6"/>
      <c r="E79" s="6"/>
      <c r="F79" s="6"/>
      <c r="G79" s="6"/>
      <c r="H79" s="6"/>
      <c r="I79" s="6"/>
      <c r="J79" s="6"/>
      <c r="K79" s="6"/>
      <c r="L79" s="6"/>
      <c r="M79" s="6"/>
      <c r="N79" s="6"/>
      <c r="O79" s="6"/>
      <c r="P79" s="6"/>
      <c r="Q79" s="6"/>
      <c r="R79" s="6"/>
      <c r="S79" s="6"/>
      <c r="T79" s="6"/>
      <c r="U79" s="6"/>
      <c r="V79" s="6"/>
      <c r="W79" s="6"/>
      <c r="X79" s="6"/>
      <c r="Y79" s="22"/>
    </row>
    <row r="80" spans="2:25" x14ac:dyDescent="0.25">
      <c r="B80" s="21"/>
      <c r="C80" s="6"/>
      <c r="D80" s="6"/>
      <c r="E80" s="6"/>
      <c r="F80" s="714"/>
      <c r="G80" s="714"/>
      <c r="H80" s="6"/>
      <c r="I80" s="6"/>
      <c r="J80" s="6"/>
      <c r="K80" s="6"/>
      <c r="L80" s="700"/>
      <c r="M80" s="701"/>
      <c r="N80" s="6"/>
      <c r="O80" s="6"/>
      <c r="P80" s="6"/>
      <c r="Q80" s="6"/>
      <c r="R80" s="729"/>
      <c r="S80" s="730"/>
      <c r="T80" s="730"/>
      <c r="U80" s="730"/>
      <c r="V80" s="730"/>
      <c r="W80" s="730"/>
      <c r="X80" s="731"/>
      <c r="Y80" s="22"/>
    </row>
    <row r="81" spans="2:26" x14ac:dyDescent="0.25">
      <c r="B81" s="21"/>
      <c r="C81" s="6"/>
      <c r="D81" s="6"/>
      <c r="E81" s="6"/>
      <c r="F81" s="6"/>
      <c r="G81" s="6"/>
      <c r="H81" s="6"/>
      <c r="I81" s="6"/>
      <c r="J81" s="6"/>
      <c r="K81" s="6"/>
      <c r="L81" s="6"/>
      <c r="M81" s="6"/>
      <c r="N81" s="6"/>
      <c r="O81" s="6"/>
      <c r="P81" s="6"/>
      <c r="Q81" s="6"/>
      <c r="R81" s="6"/>
      <c r="S81" s="6"/>
      <c r="T81" s="6"/>
      <c r="U81" s="6"/>
      <c r="V81" s="6"/>
      <c r="W81" s="6"/>
      <c r="X81" s="6"/>
      <c r="Y81" s="22"/>
    </row>
    <row r="82" spans="2:26" x14ac:dyDescent="0.25">
      <c r="B82" s="21"/>
      <c r="C82" s="6"/>
      <c r="D82" s="6"/>
      <c r="E82" s="6"/>
      <c r="F82" s="6"/>
      <c r="G82" s="6"/>
      <c r="H82" s="6"/>
      <c r="I82" s="6"/>
      <c r="J82" s="6"/>
      <c r="K82" s="6"/>
      <c r="L82" s="6"/>
      <c r="M82" s="6"/>
      <c r="N82" s="6"/>
      <c r="O82" s="6"/>
      <c r="P82" s="6"/>
      <c r="Q82" s="6"/>
      <c r="R82" s="6"/>
      <c r="S82" s="6"/>
      <c r="T82" s="6"/>
      <c r="U82" s="6"/>
      <c r="V82" s="6"/>
      <c r="W82" s="6"/>
      <c r="X82" s="6"/>
      <c r="Y82" s="22"/>
    </row>
    <row r="83" spans="2:26" x14ac:dyDescent="0.25">
      <c r="B83" s="21"/>
      <c r="C83" s="6"/>
      <c r="D83" s="6"/>
      <c r="E83" s="6"/>
      <c r="F83" s="714"/>
      <c r="G83" s="714"/>
      <c r="H83" s="6"/>
      <c r="I83" s="6"/>
      <c r="J83" s="6"/>
      <c r="K83" s="6"/>
      <c r="L83" s="700"/>
      <c r="M83" s="701"/>
      <c r="N83" s="6"/>
      <c r="O83" s="6"/>
      <c r="P83" s="6"/>
      <c r="Q83" s="6"/>
      <c r="R83" s="727"/>
      <c r="S83" s="728"/>
      <c r="T83" s="728"/>
      <c r="U83" s="728"/>
      <c r="V83" s="728"/>
      <c r="W83" s="728"/>
      <c r="X83" s="728"/>
      <c r="Y83" s="27"/>
    </row>
    <row r="84" spans="2:26" x14ac:dyDescent="0.25">
      <c r="B84" s="21"/>
      <c r="C84" s="6"/>
      <c r="D84" s="6"/>
      <c r="E84" s="6"/>
      <c r="F84" s="6"/>
      <c r="G84" s="6"/>
      <c r="H84" s="6"/>
      <c r="I84" s="6"/>
      <c r="J84" s="6"/>
      <c r="K84" s="6"/>
      <c r="L84" s="6"/>
      <c r="M84" s="6"/>
      <c r="N84" s="6"/>
      <c r="O84" s="6"/>
      <c r="P84" s="6"/>
      <c r="Q84" s="6"/>
      <c r="R84" s="6"/>
      <c r="S84" s="6"/>
      <c r="T84" s="6"/>
      <c r="U84" s="6"/>
      <c r="V84" s="6"/>
      <c r="W84" s="6"/>
      <c r="X84" s="6"/>
      <c r="Y84" s="22"/>
    </row>
    <row r="85" spans="2:26" x14ac:dyDescent="0.25">
      <c r="B85" s="21"/>
      <c r="C85" s="6"/>
      <c r="D85" s="6"/>
      <c r="E85" s="6"/>
      <c r="F85" s="6"/>
      <c r="G85" s="6"/>
      <c r="H85" s="6"/>
      <c r="I85" s="6"/>
      <c r="J85" s="6"/>
      <c r="K85" s="6"/>
      <c r="L85" s="6"/>
      <c r="M85" s="6"/>
      <c r="N85" s="6"/>
      <c r="O85" s="6"/>
      <c r="P85" s="6"/>
      <c r="Q85" s="6"/>
      <c r="R85" s="6"/>
      <c r="S85" s="6"/>
      <c r="T85" s="6"/>
      <c r="U85" s="6"/>
      <c r="V85" s="6"/>
      <c r="W85" s="6"/>
      <c r="X85" s="6"/>
      <c r="Y85" s="22"/>
    </row>
    <row r="86" spans="2:26" x14ac:dyDescent="0.25">
      <c r="B86" s="21"/>
      <c r="C86" s="6"/>
      <c r="D86" s="6"/>
      <c r="E86" s="6"/>
      <c r="F86" s="714"/>
      <c r="G86" s="714"/>
      <c r="H86" s="6"/>
      <c r="I86" s="6"/>
      <c r="J86" s="6"/>
      <c r="K86" s="6"/>
      <c r="L86" s="697"/>
      <c r="M86" s="698"/>
      <c r="N86" s="698"/>
      <c r="O86" s="698"/>
      <c r="P86" s="698"/>
      <c r="Q86" s="698"/>
      <c r="R86" s="699"/>
      <c r="X86" s="6"/>
      <c r="Y86" s="201"/>
    </row>
    <row r="87" spans="2:26" x14ac:dyDescent="0.25">
      <c r="B87" s="21"/>
      <c r="C87" s="6"/>
      <c r="D87" s="6"/>
      <c r="E87" s="6"/>
      <c r="F87" s="6"/>
      <c r="G87" s="6"/>
      <c r="H87" s="6"/>
      <c r="I87" s="6"/>
      <c r="J87" s="6"/>
      <c r="K87" s="6"/>
      <c r="S87" s="6"/>
      <c r="T87" s="6"/>
      <c r="U87" s="6"/>
      <c r="V87" s="6"/>
      <c r="W87" s="6"/>
      <c r="X87" s="6"/>
      <c r="Y87" s="22"/>
    </row>
    <row r="88" spans="2:26" x14ac:dyDescent="0.25">
      <c r="B88" s="21"/>
      <c r="C88" s="6"/>
      <c r="D88" s="6"/>
      <c r="E88" s="6"/>
      <c r="F88" s="6"/>
      <c r="I88" s="6"/>
      <c r="J88" s="6"/>
      <c r="K88" s="6"/>
      <c r="L88" s="6"/>
      <c r="M88" s="6"/>
      <c r="N88" s="6"/>
      <c r="O88" s="6"/>
      <c r="P88" s="6"/>
      <c r="Q88" s="6"/>
      <c r="R88" s="6"/>
      <c r="S88" s="6"/>
      <c r="T88" s="6"/>
      <c r="U88" s="6"/>
      <c r="V88" s="6"/>
      <c r="W88" s="6"/>
      <c r="X88" s="6"/>
      <c r="Y88" s="22"/>
    </row>
    <row r="89" spans="2:26" x14ac:dyDescent="0.25">
      <c r="B89" s="21"/>
      <c r="C89" s="6"/>
      <c r="D89" s="6"/>
      <c r="E89" s="6"/>
      <c r="G89" s="700"/>
      <c r="H89" s="701"/>
      <c r="K89" s="6"/>
      <c r="N89" s="729"/>
      <c r="O89" s="730"/>
      <c r="P89" s="730"/>
      <c r="Q89" s="731"/>
      <c r="T89" s="6"/>
      <c r="U89" s="6"/>
      <c r="V89" s="6"/>
      <c r="W89" s="705"/>
      <c r="X89" s="706"/>
      <c r="Z89" s="21"/>
    </row>
    <row r="90" spans="2:26" x14ac:dyDescent="0.25">
      <c r="B90" s="21"/>
      <c r="C90" s="6"/>
      <c r="D90" s="6"/>
      <c r="E90" s="6"/>
      <c r="F90" s="6"/>
      <c r="G90" s="6"/>
      <c r="H90" s="6"/>
      <c r="I90" s="6"/>
      <c r="J90" s="6"/>
      <c r="K90" s="6"/>
      <c r="L90" s="6"/>
      <c r="M90" s="6"/>
      <c r="N90" s="6"/>
      <c r="O90" s="6"/>
      <c r="P90" s="6"/>
      <c r="Q90" s="6"/>
      <c r="R90" s="6"/>
      <c r="S90" s="6"/>
      <c r="T90" s="6"/>
      <c r="U90" s="6"/>
      <c r="V90" s="6"/>
      <c r="W90" s="6"/>
      <c r="X90" s="6"/>
      <c r="Y90" s="22"/>
    </row>
    <row r="91" spans="2:26" x14ac:dyDescent="0.25">
      <c r="B91" s="21"/>
      <c r="C91" s="6"/>
      <c r="D91" s="6"/>
      <c r="E91" s="6"/>
      <c r="F91" s="6"/>
      <c r="G91" s="6"/>
      <c r="H91" s="6"/>
      <c r="I91" s="6"/>
      <c r="J91" s="6"/>
      <c r="K91" s="6"/>
      <c r="L91" s="6"/>
      <c r="M91" s="6"/>
      <c r="N91" s="6"/>
      <c r="O91" s="6"/>
      <c r="P91" s="6"/>
      <c r="Q91" s="6"/>
      <c r="R91" s="6"/>
      <c r="S91" s="6"/>
      <c r="T91" s="6"/>
      <c r="U91" s="6"/>
      <c r="V91" s="6"/>
      <c r="W91" s="6"/>
      <c r="X91" s="6"/>
      <c r="Y91" s="22"/>
    </row>
    <row r="92" spans="2:26" x14ac:dyDescent="0.25">
      <c r="B92" s="21"/>
      <c r="C92" s="6" t="s">
        <v>569</v>
      </c>
      <c r="D92" s="6"/>
      <c r="E92" s="6"/>
      <c r="F92" s="6"/>
      <c r="G92" s="6"/>
      <c r="H92" s="6"/>
      <c r="I92" s="6"/>
      <c r="J92" s="6"/>
      <c r="K92" s="6"/>
      <c r="L92" s="6"/>
      <c r="M92" s="6"/>
      <c r="N92" s="6"/>
      <c r="O92" s="6"/>
      <c r="P92" s="6"/>
      <c r="Q92" s="6"/>
      <c r="R92" s="6"/>
      <c r="S92" s="6"/>
      <c r="T92" s="6"/>
      <c r="U92" s="6"/>
      <c r="V92" s="6"/>
      <c r="W92" s="6"/>
      <c r="X92" s="6"/>
      <c r="Y92" s="22"/>
    </row>
    <row r="93" spans="2:26" x14ac:dyDescent="0.25">
      <c r="B93" s="21"/>
      <c r="C93" s="6"/>
      <c r="D93" s="6"/>
      <c r="E93" s="6"/>
      <c r="F93" s="6"/>
      <c r="G93" s="6"/>
      <c r="H93" s="6"/>
      <c r="I93" s="6"/>
      <c r="J93" s="6"/>
      <c r="K93" s="6"/>
      <c r="L93" s="6"/>
      <c r="M93" s="6"/>
      <c r="N93" s="6"/>
      <c r="O93" s="6"/>
      <c r="P93" s="6"/>
      <c r="Q93" s="6"/>
      <c r="R93" s="6"/>
      <c r="S93" s="6"/>
      <c r="T93" s="6"/>
      <c r="U93" s="6"/>
      <c r="V93" s="6"/>
      <c r="W93" s="6"/>
      <c r="X93" s="6"/>
      <c r="Y93" s="22"/>
    </row>
    <row r="94" spans="2:26" x14ac:dyDescent="0.25">
      <c r="B94" s="21"/>
      <c r="C94" t="s">
        <v>728</v>
      </c>
      <c r="G94" s="729"/>
      <c r="H94" s="730"/>
      <c r="I94" s="731"/>
      <c r="Y94" s="28"/>
    </row>
    <row r="95" spans="2:26" x14ac:dyDescent="0.25">
      <c r="B95" s="21"/>
      <c r="F95" s="197"/>
      <c r="G95" s="197"/>
      <c r="H95" s="197"/>
      <c r="I95" s="197"/>
      <c r="J95" s="197"/>
      <c r="K95" s="197"/>
      <c r="L95" s="197"/>
      <c r="M95" s="197"/>
      <c r="N95" s="197"/>
      <c r="O95" s="197"/>
      <c r="P95" s="197"/>
      <c r="Q95" s="197"/>
      <c r="R95" s="197"/>
      <c r="S95" s="197"/>
      <c r="T95" s="197"/>
      <c r="U95" s="197"/>
      <c r="V95" s="197"/>
      <c r="W95" s="197"/>
      <c r="X95" s="197"/>
      <c r="Y95" s="28"/>
    </row>
    <row r="96" spans="2:26" x14ac:dyDescent="0.25">
      <c r="B96" s="21"/>
      <c r="C96" t="s">
        <v>729</v>
      </c>
      <c r="G96" s="729"/>
      <c r="H96" s="730"/>
      <c r="I96" s="731"/>
      <c r="Y96" s="28"/>
    </row>
    <row r="97" spans="2:25" x14ac:dyDescent="0.25">
      <c r="B97" s="21"/>
      <c r="F97" s="197"/>
      <c r="G97" s="197"/>
      <c r="H97" s="197"/>
      <c r="I97" s="197"/>
      <c r="J97" s="197"/>
      <c r="K97" s="197"/>
      <c r="L97" s="197"/>
      <c r="M97" s="197"/>
      <c r="N97" s="197"/>
      <c r="O97" s="197"/>
      <c r="P97" s="197"/>
      <c r="Q97" s="197"/>
      <c r="R97" s="197"/>
      <c r="S97" s="197"/>
      <c r="T97" s="197"/>
      <c r="U97" s="197"/>
      <c r="V97" s="197"/>
      <c r="W97" s="197"/>
      <c r="X97" s="197"/>
      <c r="Y97" s="28"/>
    </row>
    <row r="98" spans="2:25" x14ac:dyDescent="0.25">
      <c r="B98" s="21"/>
      <c r="C98" t="s">
        <v>566</v>
      </c>
      <c r="F98" s="197"/>
      <c r="G98" s="729"/>
      <c r="H98" s="730"/>
      <c r="I98" s="731"/>
      <c r="J98" s="197"/>
      <c r="K98" s="197"/>
      <c r="L98" s="197"/>
      <c r="M98" s="197"/>
      <c r="N98" s="197"/>
      <c r="O98" s="197"/>
      <c r="P98" s="197"/>
      <c r="Q98" s="197"/>
      <c r="R98" s="197"/>
      <c r="S98" s="197"/>
      <c r="T98" s="197"/>
      <c r="U98" s="197"/>
      <c r="V98" s="197"/>
      <c r="W98" s="197"/>
      <c r="X98" s="197"/>
      <c r="Y98" s="28"/>
    </row>
    <row r="99" spans="2:25" x14ac:dyDescent="0.25">
      <c r="B99" s="21"/>
      <c r="C99" s="197"/>
      <c r="D99" s="197"/>
      <c r="E99" s="197"/>
      <c r="F99" s="197"/>
      <c r="G99" s="197"/>
      <c r="H99" s="197"/>
      <c r="I99" s="197"/>
      <c r="J99" s="197"/>
      <c r="K99" s="197"/>
      <c r="L99" s="197"/>
      <c r="M99" s="197"/>
      <c r="N99" s="197"/>
      <c r="O99" s="197"/>
      <c r="P99" s="197"/>
      <c r="Q99" s="197"/>
      <c r="R99" s="197"/>
      <c r="S99" s="197"/>
      <c r="T99" s="197"/>
      <c r="U99" s="197"/>
      <c r="V99" s="197"/>
      <c r="W99" s="197"/>
      <c r="X99" s="197"/>
      <c r="Y99" s="28"/>
    </row>
    <row r="100" spans="2:25" ht="15.75" thickBot="1" x14ac:dyDescent="0.3">
      <c r="B100" s="24"/>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26"/>
    </row>
    <row r="102" spans="2:25" ht="15.75" thickBot="1" x14ac:dyDescent="0.3"/>
    <row r="103" spans="2:25" x14ac:dyDescent="0.25">
      <c r="B103" s="10"/>
      <c r="C103" s="11"/>
      <c r="D103" s="11"/>
      <c r="E103" s="11"/>
      <c r="F103" s="11"/>
      <c r="G103" s="11"/>
      <c r="H103" s="11"/>
      <c r="I103" s="11"/>
      <c r="J103" s="11"/>
      <c r="K103" s="11"/>
      <c r="L103" s="11"/>
      <c r="M103" s="11"/>
      <c r="N103" s="11"/>
      <c r="O103" s="11"/>
      <c r="P103" s="11"/>
      <c r="Q103" s="11"/>
      <c r="R103" s="11"/>
      <c r="S103" s="11"/>
      <c r="T103" s="11"/>
      <c r="U103" s="11"/>
      <c r="V103" s="11"/>
      <c r="W103" s="11"/>
      <c r="X103" s="11"/>
      <c r="Y103" s="12"/>
    </row>
    <row r="104" spans="2:25" x14ac:dyDescent="0.25">
      <c r="B104" s="13"/>
      <c r="C104" s="6"/>
      <c r="D104" s="6"/>
      <c r="E104" s="6"/>
      <c r="F104" s="6"/>
      <c r="G104" s="6"/>
      <c r="H104" s="6"/>
      <c r="I104" s="6"/>
      <c r="J104" s="6"/>
      <c r="K104" s="6"/>
      <c r="L104" s="6"/>
      <c r="M104" s="6"/>
      <c r="N104" s="6"/>
      <c r="O104" s="6"/>
      <c r="P104" s="6"/>
      <c r="Q104" s="6"/>
      <c r="R104" s="6"/>
      <c r="S104" s="6"/>
      <c r="T104" s="6"/>
      <c r="U104" s="6"/>
      <c r="V104" s="6"/>
      <c r="W104" s="6"/>
      <c r="X104" s="6"/>
      <c r="Y104" s="14"/>
    </row>
    <row r="105" spans="2:25" x14ac:dyDescent="0.25">
      <c r="B105" s="13"/>
      <c r="C105" s="732"/>
      <c r="D105" s="733"/>
      <c r="E105" s="733"/>
      <c r="F105" s="733"/>
      <c r="G105" s="733"/>
      <c r="H105" s="733"/>
      <c r="I105" s="733"/>
      <c r="J105" s="733"/>
      <c r="K105" s="733"/>
      <c r="L105" s="733"/>
      <c r="M105" s="733"/>
      <c r="N105" s="733"/>
      <c r="O105" s="733"/>
      <c r="P105" s="733"/>
      <c r="Q105" s="733"/>
      <c r="R105" s="733"/>
      <c r="S105" s="733"/>
      <c r="T105" s="733"/>
      <c r="U105" s="733"/>
      <c r="V105" s="733"/>
      <c r="W105" s="733"/>
      <c r="X105" s="734"/>
      <c r="Y105" s="14"/>
    </row>
    <row r="106" spans="2:25" x14ac:dyDescent="0.25">
      <c r="B106" s="13"/>
      <c r="C106" s="735"/>
      <c r="D106" s="736"/>
      <c r="E106" s="736"/>
      <c r="F106" s="736"/>
      <c r="G106" s="736"/>
      <c r="H106" s="736"/>
      <c r="I106" s="736"/>
      <c r="J106" s="736"/>
      <c r="K106" s="736"/>
      <c r="L106" s="736"/>
      <c r="M106" s="736"/>
      <c r="N106" s="736"/>
      <c r="O106" s="736"/>
      <c r="P106" s="736"/>
      <c r="Q106" s="736"/>
      <c r="R106" s="736"/>
      <c r="S106" s="736"/>
      <c r="T106" s="736"/>
      <c r="U106" s="736"/>
      <c r="V106" s="736"/>
      <c r="W106" s="736"/>
      <c r="X106" s="737"/>
      <c r="Y106" s="14"/>
    </row>
    <row r="107" spans="2:25" x14ac:dyDescent="0.25">
      <c r="B107" s="13"/>
      <c r="C107" s="735"/>
      <c r="D107" s="736"/>
      <c r="E107" s="736"/>
      <c r="F107" s="736"/>
      <c r="G107" s="736"/>
      <c r="H107" s="736"/>
      <c r="I107" s="736"/>
      <c r="J107" s="736"/>
      <c r="K107" s="736"/>
      <c r="L107" s="736"/>
      <c r="M107" s="736"/>
      <c r="N107" s="736"/>
      <c r="O107" s="736"/>
      <c r="P107" s="736"/>
      <c r="Q107" s="736"/>
      <c r="R107" s="736"/>
      <c r="S107" s="736"/>
      <c r="T107" s="736"/>
      <c r="U107" s="736"/>
      <c r="V107" s="736"/>
      <c r="W107" s="736"/>
      <c r="X107" s="737"/>
      <c r="Y107" s="14"/>
    </row>
    <row r="108" spans="2:25" x14ac:dyDescent="0.25">
      <c r="B108" s="13"/>
      <c r="C108" s="735"/>
      <c r="D108" s="736"/>
      <c r="E108" s="736"/>
      <c r="F108" s="736"/>
      <c r="G108" s="736"/>
      <c r="H108" s="736"/>
      <c r="I108" s="736"/>
      <c r="J108" s="736"/>
      <c r="K108" s="736"/>
      <c r="L108" s="736"/>
      <c r="M108" s="736"/>
      <c r="N108" s="736"/>
      <c r="O108" s="736"/>
      <c r="P108" s="736"/>
      <c r="Q108" s="736"/>
      <c r="R108" s="736"/>
      <c r="S108" s="736"/>
      <c r="T108" s="736"/>
      <c r="U108" s="736"/>
      <c r="V108" s="736"/>
      <c r="W108" s="736"/>
      <c r="X108" s="737"/>
      <c r="Y108" s="14"/>
    </row>
    <row r="109" spans="2:25" x14ac:dyDescent="0.25">
      <c r="B109" s="13"/>
      <c r="C109" s="735"/>
      <c r="D109" s="736"/>
      <c r="E109" s="736"/>
      <c r="F109" s="736"/>
      <c r="G109" s="736"/>
      <c r="H109" s="736"/>
      <c r="I109" s="736"/>
      <c r="J109" s="736"/>
      <c r="K109" s="736"/>
      <c r="L109" s="736"/>
      <c r="M109" s="736"/>
      <c r="N109" s="736"/>
      <c r="O109" s="736"/>
      <c r="P109" s="736"/>
      <c r="Q109" s="736"/>
      <c r="R109" s="736"/>
      <c r="S109" s="736"/>
      <c r="T109" s="736"/>
      <c r="U109" s="736"/>
      <c r="V109" s="736"/>
      <c r="W109" s="736"/>
      <c r="X109" s="737"/>
      <c r="Y109" s="14"/>
    </row>
    <row r="110" spans="2:25" x14ac:dyDescent="0.25">
      <c r="B110" s="13"/>
      <c r="C110" s="735"/>
      <c r="D110" s="736"/>
      <c r="E110" s="736"/>
      <c r="F110" s="736"/>
      <c r="G110" s="736"/>
      <c r="H110" s="736"/>
      <c r="I110" s="736"/>
      <c r="J110" s="736"/>
      <c r="K110" s="736"/>
      <c r="L110" s="736"/>
      <c r="M110" s="736"/>
      <c r="N110" s="736"/>
      <c r="O110" s="736"/>
      <c r="P110" s="736"/>
      <c r="Q110" s="736"/>
      <c r="R110" s="736"/>
      <c r="S110" s="736"/>
      <c r="T110" s="736"/>
      <c r="U110" s="736"/>
      <c r="V110" s="736"/>
      <c r="W110" s="736"/>
      <c r="X110" s="737"/>
      <c r="Y110" s="14"/>
    </row>
    <row r="111" spans="2:25" x14ac:dyDescent="0.25">
      <c r="B111" s="13"/>
      <c r="C111" s="735"/>
      <c r="D111" s="736"/>
      <c r="E111" s="736"/>
      <c r="F111" s="736"/>
      <c r="G111" s="736"/>
      <c r="H111" s="736"/>
      <c r="I111" s="736"/>
      <c r="J111" s="736"/>
      <c r="K111" s="736"/>
      <c r="L111" s="736"/>
      <c r="M111" s="736"/>
      <c r="N111" s="736"/>
      <c r="O111" s="736"/>
      <c r="P111" s="736"/>
      <c r="Q111" s="736"/>
      <c r="R111" s="736"/>
      <c r="S111" s="736"/>
      <c r="T111" s="736"/>
      <c r="U111" s="736"/>
      <c r="V111" s="736"/>
      <c r="W111" s="736"/>
      <c r="X111" s="737"/>
      <c r="Y111" s="14"/>
    </row>
    <row r="112" spans="2:25" x14ac:dyDescent="0.25">
      <c r="B112" s="13"/>
      <c r="C112" s="735"/>
      <c r="D112" s="736"/>
      <c r="E112" s="736"/>
      <c r="F112" s="736"/>
      <c r="G112" s="736"/>
      <c r="H112" s="736"/>
      <c r="I112" s="736"/>
      <c r="J112" s="736"/>
      <c r="K112" s="736"/>
      <c r="L112" s="736"/>
      <c r="M112" s="736"/>
      <c r="N112" s="736"/>
      <c r="O112" s="736"/>
      <c r="P112" s="736"/>
      <c r="Q112" s="736"/>
      <c r="R112" s="736"/>
      <c r="S112" s="736"/>
      <c r="T112" s="736"/>
      <c r="U112" s="736"/>
      <c r="V112" s="736"/>
      <c r="W112" s="736"/>
      <c r="X112" s="737"/>
      <c r="Y112" s="14"/>
    </row>
    <row r="113" spans="2:25" x14ac:dyDescent="0.25">
      <c r="B113" s="13"/>
      <c r="C113" s="735"/>
      <c r="D113" s="736"/>
      <c r="E113" s="736"/>
      <c r="F113" s="736"/>
      <c r="G113" s="736"/>
      <c r="H113" s="736"/>
      <c r="I113" s="736"/>
      <c r="J113" s="736"/>
      <c r="K113" s="736"/>
      <c r="L113" s="736"/>
      <c r="M113" s="736"/>
      <c r="N113" s="736"/>
      <c r="O113" s="736"/>
      <c r="P113" s="736"/>
      <c r="Q113" s="736"/>
      <c r="R113" s="736"/>
      <c r="S113" s="736"/>
      <c r="T113" s="736"/>
      <c r="U113" s="736"/>
      <c r="V113" s="736"/>
      <c r="W113" s="736"/>
      <c r="X113" s="737"/>
      <c r="Y113" s="14"/>
    </row>
    <row r="114" spans="2:25" x14ac:dyDescent="0.25">
      <c r="B114" s="13"/>
      <c r="C114" s="735"/>
      <c r="D114" s="736"/>
      <c r="E114" s="736"/>
      <c r="F114" s="736"/>
      <c r="G114" s="736"/>
      <c r="H114" s="736"/>
      <c r="I114" s="736"/>
      <c r="J114" s="736"/>
      <c r="K114" s="736"/>
      <c r="L114" s="736"/>
      <c r="M114" s="736"/>
      <c r="N114" s="736"/>
      <c r="O114" s="736"/>
      <c r="P114" s="736"/>
      <c r="Q114" s="736"/>
      <c r="R114" s="736"/>
      <c r="S114" s="736"/>
      <c r="T114" s="736"/>
      <c r="U114" s="736"/>
      <c r="V114" s="736"/>
      <c r="W114" s="736"/>
      <c r="X114" s="737"/>
      <c r="Y114" s="14"/>
    </row>
    <row r="115" spans="2:25" x14ac:dyDescent="0.25">
      <c r="B115" s="13"/>
      <c r="C115" s="735"/>
      <c r="D115" s="736"/>
      <c r="E115" s="736"/>
      <c r="F115" s="736"/>
      <c r="G115" s="736"/>
      <c r="H115" s="736"/>
      <c r="I115" s="736"/>
      <c r="J115" s="736"/>
      <c r="K115" s="736"/>
      <c r="L115" s="736"/>
      <c r="M115" s="736"/>
      <c r="N115" s="736"/>
      <c r="O115" s="736"/>
      <c r="P115" s="736"/>
      <c r="Q115" s="736"/>
      <c r="R115" s="736"/>
      <c r="S115" s="736"/>
      <c r="T115" s="736"/>
      <c r="U115" s="736"/>
      <c r="V115" s="736"/>
      <c r="W115" s="736"/>
      <c r="X115" s="737"/>
      <c r="Y115" s="14"/>
    </row>
    <row r="116" spans="2:25" x14ac:dyDescent="0.25">
      <c r="B116" s="13"/>
      <c r="C116" s="735"/>
      <c r="D116" s="736"/>
      <c r="E116" s="736"/>
      <c r="F116" s="736"/>
      <c r="G116" s="736"/>
      <c r="H116" s="736"/>
      <c r="I116" s="736"/>
      <c r="J116" s="736"/>
      <c r="K116" s="736"/>
      <c r="L116" s="736"/>
      <c r="M116" s="736"/>
      <c r="N116" s="736"/>
      <c r="O116" s="736"/>
      <c r="P116" s="736"/>
      <c r="Q116" s="736"/>
      <c r="R116" s="736"/>
      <c r="S116" s="736"/>
      <c r="T116" s="736"/>
      <c r="U116" s="736"/>
      <c r="V116" s="736"/>
      <c r="W116" s="736"/>
      <c r="X116" s="737"/>
      <c r="Y116" s="14"/>
    </row>
    <row r="117" spans="2:25" x14ac:dyDescent="0.25">
      <c r="B117" s="13"/>
      <c r="C117" s="735"/>
      <c r="D117" s="736"/>
      <c r="E117" s="736"/>
      <c r="F117" s="736"/>
      <c r="G117" s="736"/>
      <c r="H117" s="736"/>
      <c r="I117" s="736"/>
      <c r="J117" s="736"/>
      <c r="K117" s="736"/>
      <c r="L117" s="736"/>
      <c r="M117" s="736"/>
      <c r="N117" s="736"/>
      <c r="O117" s="736"/>
      <c r="P117" s="736"/>
      <c r="Q117" s="736"/>
      <c r="R117" s="736"/>
      <c r="S117" s="736"/>
      <c r="T117" s="736"/>
      <c r="U117" s="736"/>
      <c r="V117" s="736"/>
      <c r="W117" s="736"/>
      <c r="X117" s="737"/>
      <c r="Y117" s="14"/>
    </row>
    <row r="118" spans="2:25" x14ac:dyDescent="0.25">
      <c r="B118" s="13"/>
      <c r="C118" s="735"/>
      <c r="D118" s="736"/>
      <c r="E118" s="736"/>
      <c r="F118" s="736"/>
      <c r="G118" s="736"/>
      <c r="H118" s="736"/>
      <c r="I118" s="736"/>
      <c r="J118" s="736"/>
      <c r="K118" s="736"/>
      <c r="L118" s="736"/>
      <c r="M118" s="736"/>
      <c r="N118" s="736"/>
      <c r="O118" s="736"/>
      <c r="P118" s="736"/>
      <c r="Q118" s="736"/>
      <c r="R118" s="736"/>
      <c r="S118" s="736"/>
      <c r="T118" s="736"/>
      <c r="U118" s="736"/>
      <c r="V118" s="736"/>
      <c r="W118" s="736"/>
      <c r="X118" s="737"/>
      <c r="Y118" s="14"/>
    </row>
    <row r="119" spans="2:25" x14ac:dyDescent="0.25">
      <c r="B119" s="13"/>
      <c r="C119" s="738"/>
      <c r="D119" s="739"/>
      <c r="E119" s="739"/>
      <c r="F119" s="739"/>
      <c r="G119" s="739"/>
      <c r="H119" s="739"/>
      <c r="I119" s="739"/>
      <c r="J119" s="739"/>
      <c r="K119" s="739"/>
      <c r="L119" s="739"/>
      <c r="M119" s="739"/>
      <c r="N119" s="739"/>
      <c r="O119" s="739"/>
      <c r="P119" s="739"/>
      <c r="Q119" s="739"/>
      <c r="R119" s="739"/>
      <c r="S119" s="739"/>
      <c r="T119" s="739"/>
      <c r="U119" s="739"/>
      <c r="V119" s="739"/>
      <c r="W119" s="739"/>
      <c r="X119" s="740"/>
      <c r="Y119" s="14"/>
    </row>
    <row r="120" spans="2:25" x14ac:dyDescent="0.25">
      <c r="B120" s="13"/>
      <c r="C120" s="6"/>
      <c r="D120" s="6"/>
      <c r="E120" s="6"/>
      <c r="F120" s="6"/>
      <c r="G120" s="6"/>
      <c r="H120" s="6"/>
      <c r="I120" s="6"/>
      <c r="J120" s="6"/>
      <c r="K120" s="6"/>
      <c r="L120" s="6"/>
      <c r="M120" s="6"/>
      <c r="N120" s="6"/>
      <c r="O120" s="6"/>
      <c r="P120" s="6"/>
      <c r="Q120" s="6"/>
      <c r="R120" s="6"/>
      <c r="S120" s="6"/>
      <c r="T120" s="6"/>
      <c r="U120" s="6"/>
      <c r="V120" s="6"/>
      <c r="W120" s="6"/>
      <c r="X120" s="6"/>
      <c r="Y120" s="14"/>
    </row>
    <row r="121" spans="2:25" ht="15.75" thickBot="1" x14ac:dyDescent="0.3">
      <c r="B121" s="15"/>
      <c r="C121" s="16"/>
      <c r="D121" s="16"/>
      <c r="E121" s="16"/>
      <c r="F121" s="16"/>
      <c r="G121" s="16"/>
      <c r="H121" s="16"/>
      <c r="I121" s="16"/>
      <c r="J121" s="16"/>
      <c r="K121" s="16"/>
      <c r="L121" s="16"/>
      <c r="M121" s="16"/>
      <c r="N121" s="16"/>
      <c r="O121" s="16"/>
      <c r="P121" s="16"/>
      <c r="Q121" s="16"/>
      <c r="R121" s="16"/>
      <c r="S121" s="16"/>
      <c r="T121" s="16"/>
      <c r="U121" s="16"/>
      <c r="V121" s="16"/>
      <c r="W121" s="16"/>
      <c r="X121" s="16"/>
      <c r="Y121" s="17"/>
    </row>
  </sheetData>
  <sheetProtection algorithmName="SHA-512" hashValue="kY4IQo+zBSjwmN5RBXRb2XBCep82QyrR4K815dZfbrkWgq+XtvMssMhCFukcUZcIaqRjxEGn7W2nuqJn+9AQzg==" saltValue="ynYu6Twc+GxfEDOYkJ0F6w==" spinCount="100000" sheet="1" objects="1" scenarios="1"/>
  <mergeCells count="53">
    <mergeCell ref="W89:X89"/>
    <mergeCell ref="C105:X119"/>
    <mergeCell ref="G94:I94"/>
    <mergeCell ref="G96:I96"/>
    <mergeCell ref="G98:I98"/>
    <mergeCell ref="G89:H89"/>
    <mergeCell ref="N89:Q89"/>
    <mergeCell ref="L86:R86"/>
    <mergeCell ref="F69:I69"/>
    <mergeCell ref="F83:G83"/>
    <mergeCell ref="L83:M83"/>
    <mergeCell ref="F86:G86"/>
    <mergeCell ref="F72:G72"/>
    <mergeCell ref="R83:X83"/>
    <mergeCell ref="F80:G80"/>
    <mergeCell ref="L80:M80"/>
    <mergeCell ref="R80:X80"/>
    <mergeCell ref="F32:L32"/>
    <mergeCell ref="R45:X45"/>
    <mergeCell ref="V49:W49"/>
    <mergeCell ref="R47:X47"/>
    <mergeCell ref="F56:I56"/>
    <mergeCell ref="F36:I36"/>
    <mergeCell ref="F43:L43"/>
    <mergeCell ref="F45:L45"/>
    <mergeCell ref="F47:G47"/>
    <mergeCell ref="F34:L34"/>
    <mergeCell ref="R43:U43"/>
    <mergeCell ref="F49:L49"/>
    <mergeCell ref="R32:V32"/>
    <mergeCell ref="R34:V34"/>
    <mergeCell ref="R36:V36"/>
    <mergeCell ref="F38:I38"/>
    <mergeCell ref="Y1:Z1"/>
    <mergeCell ref="F24:L24"/>
    <mergeCell ref="F10:G10"/>
    <mergeCell ref="F16:L16"/>
    <mergeCell ref="F18:L18"/>
    <mergeCell ref="F22:G22"/>
    <mergeCell ref="T12:V12"/>
    <mergeCell ref="F14:I14"/>
    <mergeCell ref="F12:K12"/>
    <mergeCell ref="R16:V16"/>
    <mergeCell ref="R18:V18"/>
    <mergeCell ref="R20:V20"/>
    <mergeCell ref="R24:V24"/>
    <mergeCell ref="R22:S22"/>
    <mergeCell ref="H61:L61"/>
    <mergeCell ref="T65:X65"/>
    <mergeCell ref="T63:X63"/>
    <mergeCell ref="T61:X61"/>
    <mergeCell ref="H65:L65"/>
    <mergeCell ref="H63:L63"/>
  </mergeCells>
  <conditionalFormatting sqref="G89:H89">
    <cfRule type="expression" dxfId="56" priority="1">
      <formula>$G$89="Non"</formula>
    </cfRule>
  </conditionalFormatting>
  <dataValidations count="15">
    <dataValidation type="list" allowBlank="1" showInputMessage="1" showErrorMessage="1" sqref="F14">
      <formula1>lstNatureAudit</formula1>
    </dataValidation>
    <dataValidation type="list" allowBlank="1" showInputMessage="1" showErrorMessage="1" sqref="V49:W49 F80:G80 F83:G83 F86:G86 R70 F72:G72">
      <formula1>"Oui,Non"</formula1>
    </dataValidation>
    <dataValidation type="list" allowBlank="1" showInputMessage="1" showErrorMessage="1" sqref="F56:I56">
      <formula1>lstStatutJuridique</formula1>
    </dataValidation>
    <dataValidation type="list" allowBlank="1" showInputMessage="1" showErrorMessage="1" sqref="H63 H65 H61">
      <formula1>lstActivitesVegetales</formula1>
    </dataValidation>
    <dataValidation type="list" allowBlank="1" showInputMessage="1" showErrorMessage="1" sqref="T63 T65 T61">
      <formula1>lstActivitesAnimales</formula1>
    </dataValidation>
    <dataValidation type="list" allowBlank="1" showInputMessage="1" showErrorMessage="1" sqref="F12">
      <formula1>"Certification individuelle directe,Certification individuelle dans un cadre collectif"</formula1>
    </dataValidation>
    <dataValidation type="date" allowBlank="1" showInputMessage="1" showErrorMessage="1" sqref="F10:G10 L80:M80 L83:M83 G89:H89">
      <formula1>367</formula1>
      <formula2>73050</formula2>
    </dataValidation>
    <dataValidation type="custom" allowBlank="1" showInputMessage="1" showErrorMessage="1" sqref="R45:X45">
      <formula1>ISNUMBER(MATCH("*@*.?*",R45,0))</formula1>
    </dataValidation>
    <dataValidation type="list" allowBlank="1" showInputMessage="1" showErrorMessage="1" sqref="G94:I94 G96:I96 G98:I98">
      <formula1>LstAutresDemarches</formula1>
    </dataValidation>
    <dataValidation type="list" allowBlank="1" showInputMessage="1" showErrorMessage="1" sqref="R32:V32">
      <formula1>lstDepartements</formula1>
    </dataValidation>
    <dataValidation type="textLength" allowBlank="1" showInputMessage="1" showErrorMessage="1" sqref="R43:U43">
      <formula1>0</formula1>
      <formula2>10</formula2>
    </dataValidation>
    <dataValidation type="textLength" allowBlank="1" showInputMessage="1" showErrorMessage="1" sqref="F36:I36">
      <formula1>0</formula1>
      <formula2>14</formula2>
    </dataValidation>
    <dataValidation type="list" allowBlank="1" showInputMessage="1" showErrorMessage="1" sqref="T12:V12">
      <formula1>"Audit interne, Audit externe"</formula1>
    </dataValidation>
    <dataValidation type="textLength" allowBlank="1" showInputMessage="1" showErrorMessage="1" sqref="F47:G47 R22:S22">
      <formula1>0</formula1>
      <formula2>5</formula2>
    </dataValidation>
    <dataValidation type="list" allowBlank="1" showInputMessage="1" showErrorMessage="1" sqref="N89:Q89">
      <formula1>lstVersion</formula1>
    </dataValidation>
  </dataValidations>
  <pageMargins left="0.7" right="0.7" top="0.75" bottom="0.75" header="0.3" footer="0.3"/>
  <pageSetup paperSize="9" scale="3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pageSetUpPr fitToPage="1"/>
  </sheetPr>
  <dimension ref="A1:AL224"/>
  <sheetViews>
    <sheetView showGridLines="0" zoomScale="85" zoomScaleNormal="85" workbookViewId="0">
      <pane ySplit="5" topLeftCell="A54" activePane="bottomLeft" state="frozen"/>
      <selection activeCell="AA19" sqref="AA19"/>
      <selection pane="bottomLeft" activeCell="O79" sqref="O79"/>
    </sheetView>
  </sheetViews>
  <sheetFormatPr baseColWidth="10" defaultColWidth="9.140625" defaultRowHeight="15" x14ac:dyDescent="0.25"/>
  <cols>
    <col min="14" max="14" width="2.140625" customWidth="1"/>
    <col min="15" max="15" width="9.5703125" bestFit="1" customWidth="1"/>
    <col min="16" max="17" width="9.28515625" bestFit="1" customWidth="1"/>
    <col min="18" max="18" width="9.140625" style="499"/>
    <col min="24" max="26" width="0" hidden="1" customWidth="1"/>
    <col min="27" max="28" width="12.28515625" hidden="1" customWidth="1"/>
    <col min="29" max="39" width="0" hidden="1" customWidth="1"/>
  </cols>
  <sheetData>
    <row r="1" spans="1:23" x14ac:dyDescent="0.25">
      <c r="A1" s="29"/>
      <c r="B1" s="29"/>
      <c r="C1" s="29"/>
      <c r="D1" s="29"/>
      <c r="E1" s="29"/>
      <c r="F1" s="29"/>
      <c r="G1" s="29"/>
      <c r="H1" s="29"/>
      <c r="I1" s="29"/>
      <c r="J1" s="29"/>
      <c r="K1" s="29"/>
      <c r="L1" s="29"/>
      <c r="M1" s="29"/>
      <c r="N1" s="29"/>
      <c r="O1" s="29"/>
      <c r="P1" s="29"/>
      <c r="Q1" s="29"/>
      <c r="R1" s="29"/>
      <c r="S1" s="29"/>
      <c r="T1" s="29"/>
      <c r="U1" s="29"/>
      <c r="V1" s="696" t="str">
        <f>Accueil!I6</f>
        <v>Version 1.06</v>
      </c>
      <c r="W1" s="696"/>
    </row>
    <row r="2" spans="1:23" x14ac:dyDescent="0.25">
      <c r="A2" s="29"/>
      <c r="B2" s="29"/>
      <c r="C2" s="29"/>
      <c r="D2" s="29"/>
      <c r="E2" s="29"/>
      <c r="F2" s="29"/>
      <c r="G2" s="29"/>
      <c r="H2" s="29"/>
      <c r="I2" s="29"/>
      <c r="J2" s="29"/>
      <c r="K2" s="29"/>
      <c r="L2" s="29"/>
      <c r="M2" s="29"/>
      <c r="N2" s="29"/>
      <c r="O2" s="29"/>
      <c r="P2" s="29"/>
      <c r="Q2" s="29"/>
      <c r="R2" s="29"/>
      <c r="S2" s="29"/>
      <c r="T2" s="29"/>
      <c r="U2" s="29"/>
      <c r="V2" s="29"/>
      <c r="W2" s="29"/>
    </row>
    <row r="3" spans="1:23" x14ac:dyDescent="0.25">
      <c r="A3" s="29"/>
      <c r="B3" s="29"/>
      <c r="C3" s="29"/>
      <c r="D3" s="29"/>
      <c r="E3" s="29"/>
      <c r="F3" s="29"/>
      <c r="G3" s="29"/>
      <c r="H3" s="29"/>
      <c r="I3" s="29"/>
      <c r="J3" s="29"/>
      <c r="K3" s="29"/>
      <c r="L3" s="29"/>
      <c r="M3" s="29"/>
      <c r="N3" s="29"/>
      <c r="O3" s="29"/>
      <c r="P3" s="29"/>
      <c r="Q3" s="29"/>
      <c r="R3" s="29"/>
      <c r="S3" s="29"/>
      <c r="T3" s="29"/>
      <c r="U3" s="29"/>
      <c r="V3" s="29"/>
      <c r="W3" s="29"/>
    </row>
    <row r="4" spans="1:23" x14ac:dyDescent="0.25">
      <c r="A4" s="29"/>
      <c r="B4" s="29"/>
      <c r="C4" s="29"/>
      <c r="D4" s="29"/>
      <c r="E4" s="29"/>
      <c r="F4" s="29"/>
      <c r="G4" s="29"/>
      <c r="H4" s="29"/>
      <c r="I4" s="29"/>
      <c r="J4" s="29"/>
      <c r="K4" s="29"/>
      <c r="L4" s="29"/>
      <c r="M4" s="29"/>
      <c r="N4" s="29"/>
      <c r="O4" s="29"/>
      <c r="P4" s="29"/>
      <c r="Q4" s="29"/>
      <c r="R4" s="29"/>
      <c r="S4" s="29"/>
      <c r="T4" s="29"/>
      <c r="U4" s="29"/>
      <c r="V4" s="29"/>
      <c r="W4" s="29"/>
    </row>
    <row r="5" spans="1:23" x14ac:dyDescent="0.25">
      <c r="A5" s="29"/>
      <c r="B5" s="29"/>
      <c r="C5" s="29"/>
      <c r="D5" s="29"/>
      <c r="E5" s="29"/>
      <c r="F5" s="29"/>
      <c r="G5" s="29"/>
      <c r="H5" s="29"/>
      <c r="I5" s="29"/>
      <c r="J5" s="29"/>
      <c r="K5" s="29"/>
      <c r="L5" s="29"/>
      <c r="M5" s="29"/>
      <c r="N5" s="29"/>
      <c r="O5" s="29"/>
      <c r="P5" s="29"/>
      <c r="Q5" s="29"/>
      <c r="R5" s="29"/>
      <c r="S5" s="29"/>
      <c r="T5" s="29"/>
      <c r="U5" s="29"/>
      <c r="V5" s="29"/>
      <c r="W5" s="29"/>
    </row>
    <row r="6" spans="1:23" ht="15.75" thickBot="1" x14ac:dyDescent="0.3"/>
    <row r="7" spans="1:23" x14ac:dyDescent="0.25">
      <c r="B7" s="450"/>
      <c r="C7" s="451"/>
      <c r="D7" s="451"/>
      <c r="E7" s="451"/>
      <c r="F7" s="451"/>
      <c r="G7" s="451"/>
      <c r="H7" s="451"/>
      <c r="I7" s="451"/>
      <c r="J7" s="451"/>
      <c r="K7" s="451"/>
      <c r="L7" s="451"/>
      <c r="M7" s="451"/>
      <c r="N7" s="451"/>
      <c r="O7" s="451"/>
      <c r="P7" s="451"/>
      <c r="Q7" s="451"/>
      <c r="R7" s="451"/>
      <c r="S7" s="451"/>
      <c r="T7" s="452"/>
    </row>
    <row r="8" spans="1:23" x14ac:dyDescent="0.25">
      <c r="B8" s="453"/>
      <c r="C8" s="6"/>
      <c r="D8" s="6"/>
      <c r="E8" s="6"/>
      <c r="F8" s="6"/>
      <c r="G8" s="6"/>
      <c r="H8" s="6"/>
      <c r="I8" s="6"/>
      <c r="J8" s="6"/>
      <c r="K8" s="6"/>
      <c r="L8" s="6"/>
      <c r="M8" s="6"/>
      <c r="N8" s="6"/>
      <c r="O8" s="6"/>
      <c r="P8" s="6"/>
      <c r="Q8" s="6"/>
      <c r="R8" s="6"/>
      <c r="S8" s="6"/>
      <c r="T8" s="454"/>
    </row>
    <row r="9" spans="1:23" x14ac:dyDescent="0.25">
      <c r="B9" s="453"/>
      <c r="C9" s="140" t="str">
        <f>"Toutes les données de surface de la campagne évaluée " &amp; TEXT(cCampagneN,"0000-00") &amp; " doivent être saisies obligatoirement."</f>
        <v>Toutes les données de surface de la campagne évaluée N doivent être saisies obligatoirement.</v>
      </c>
      <c r="D9" s="6"/>
      <c r="E9" s="6"/>
      <c r="F9" s="6"/>
      <c r="G9" s="6"/>
      <c r="H9" s="6"/>
      <c r="I9" s="6"/>
      <c r="J9" s="6"/>
      <c r="K9" s="6"/>
      <c r="L9" s="6"/>
      <c r="M9" s="6"/>
      <c r="N9" s="6"/>
      <c r="O9" s="6"/>
      <c r="P9" s="6"/>
      <c r="Q9" s="6"/>
      <c r="R9" s="6"/>
      <c r="S9" s="6"/>
      <c r="T9" s="454"/>
    </row>
    <row r="10" spans="1:23" x14ac:dyDescent="0.25">
      <c r="B10" s="453"/>
      <c r="C10" s="6"/>
      <c r="D10" s="6"/>
      <c r="E10" s="6"/>
      <c r="F10" s="6"/>
      <c r="G10" s="6"/>
      <c r="H10" s="6"/>
      <c r="I10" s="6"/>
      <c r="J10" s="6"/>
      <c r="K10" s="6"/>
      <c r="L10" s="6"/>
      <c r="M10" s="6"/>
      <c r="N10" s="6"/>
      <c r="O10" s="6"/>
      <c r="P10" s="6"/>
      <c r="Q10" s="6"/>
      <c r="R10" s="6"/>
      <c r="S10" s="6"/>
      <c r="T10" s="454"/>
    </row>
    <row r="11" spans="1:23" x14ac:dyDescent="0.25">
      <c r="B11" s="453"/>
      <c r="C11" s="46" t="str">
        <f>"SAU / SNE / SNA / ZDH / marais salants : il n’est pas obligatoire de saisir les données des campagnes " &amp;cCampagneN1 &amp; " et " &amp; CCampagneN2 &amp; "."</f>
        <v>SAU / SNE / SNA / ZDH / marais salants : il n’est pas obligatoire de saisir les données des campagnes N-1 et N-2.</v>
      </c>
      <c r="D11" s="6"/>
      <c r="E11" s="6"/>
      <c r="F11" s="6"/>
      <c r="G11" s="6"/>
      <c r="H11" s="6"/>
      <c r="I11" s="6"/>
      <c r="J11" s="6"/>
      <c r="K11" s="6"/>
      <c r="L11" s="6"/>
      <c r="M11" s="6"/>
      <c r="N11" s="6"/>
      <c r="O11" s="6"/>
      <c r="P11" s="6"/>
      <c r="Q11" s="6"/>
      <c r="R11" s="6"/>
      <c r="S11" s="6"/>
      <c r="T11" s="454"/>
    </row>
    <row r="12" spans="1:23" x14ac:dyDescent="0.25">
      <c r="B12" s="453"/>
      <c r="C12" s="6"/>
      <c r="D12" s="6"/>
      <c r="E12" s="6"/>
      <c r="F12" s="6"/>
      <c r="G12" s="6"/>
      <c r="H12" s="6"/>
      <c r="I12" s="6"/>
      <c r="J12" s="6"/>
      <c r="K12" s="6"/>
      <c r="L12" s="6"/>
      <c r="M12" s="6"/>
      <c r="N12" s="6"/>
      <c r="O12" s="6"/>
      <c r="P12" s="6"/>
      <c r="Q12" s="6"/>
      <c r="R12" s="6"/>
      <c r="S12" s="6"/>
      <c r="T12" s="454"/>
    </row>
    <row r="13" spans="1:23" x14ac:dyDescent="0.25">
      <c r="B13" s="453"/>
      <c r="C13" s="756" t="str">
        <f>"Annexe Horticulture et pépinières : les données sont reprises de l'onglet Surfaces_Horti. En audit de suivi, il est obligatoire de saisir les données de la campagne " &amp; cCampagneN1 &amp; ". À partir du 2e audit de suivi en gestion collective ou de l’audit de renouvellement en gestion individuelle, il est obligatoire de saisir en plus les données de la campagne " &amp; CCampagneN2 &amp; "."</f>
        <v>Annexe Horticulture et pépinières : les données sont reprises de l'onglet Surfaces_Horti. En audit de suivi, il est obligatoire de saisir les données de la campagne N-1. À partir du 2e audit de suivi en gestion collective ou de l’audit de renouvellement en gestion individuelle, il est obligatoire de saisir en plus les données de la campagne N-2.</v>
      </c>
      <c r="D13" s="756"/>
      <c r="E13" s="756"/>
      <c r="F13" s="756"/>
      <c r="G13" s="756"/>
      <c r="H13" s="756"/>
      <c r="I13" s="756"/>
      <c r="J13" s="756"/>
      <c r="K13" s="756"/>
      <c r="L13" s="756"/>
      <c r="M13" s="756"/>
      <c r="N13" s="756"/>
      <c r="O13" s="756"/>
      <c r="P13" s="756"/>
      <c r="Q13" s="756"/>
      <c r="R13" s="756"/>
      <c r="S13" s="756"/>
      <c r="T13" s="454"/>
    </row>
    <row r="14" spans="1:23" x14ac:dyDescent="0.25">
      <c r="B14" s="453"/>
      <c r="C14" s="756"/>
      <c r="D14" s="756"/>
      <c r="E14" s="756"/>
      <c r="F14" s="756"/>
      <c r="G14" s="756"/>
      <c r="H14" s="756"/>
      <c r="I14" s="756"/>
      <c r="J14" s="756"/>
      <c r="K14" s="756"/>
      <c r="L14" s="756"/>
      <c r="M14" s="756"/>
      <c r="N14" s="756"/>
      <c r="O14" s="756"/>
      <c r="P14" s="756"/>
      <c r="Q14" s="756"/>
      <c r="R14" s="756"/>
      <c r="S14" s="756"/>
      <c r="T14" s="454"/>
    </row>
    <row r="15" spans="1:23" ht="15.75" thickBot="1" x14ac:dyDescent="0.3">
      <c r="B15" s="455"/>
      <c r="C15" s="456"/>
      <c r="D15" s="456"/>
      <c r="E15" s="456"/>
      <c r="F15" s="456"/>
      <c r="G15" s="456"/>
      <c r="H15" s="456"/>
      <c r="I15" s="456"/>
      <c r="J15" s="456"/>
      <c r="K15" s="456"/>
      <c r="L15" s="456"/>
      <c r="M15" s="456"/>
      <c r="N15" s="456"/>
      <c r="O15" s="456"/>
      <c r="P15" s="456"/>
      <c r="Q15" s="456"/>
      <c r="R15" s="456"/>
      <c r="S15" s="456"/>
      <c r="T15" s="457"/>
    </row>
    <row r="18" spans="2:20" ht="15.75" thickBot="1" x14ac:dyDescent="0.3"/>
    <row r="19" spans="2:20" x14ac:dyDescent="0.25">
      <c r="B19" s="18"/>
      <c r="C19" s="19"/>
      <c r="D19" s="19"/>
      <c r="E19" s="19"/>
      <c r="F19" s="19"/>
      <c r="G19" s="19"/>
      <c r="H19" s="19"/>
      <c r="I19" s="19"/>
      <c r="J19" s="19"/>
      <c r="K19" s="19"/>
      <c r="L19" s="19"/>
      <c r="M19" s="19"/>
      <c r="N19" s="19"/>
      <c r="O19" s="50"/>
      <c r="P19" s="50"/>
      <c r="Q19" s="19"/>
      <c r="R19" s="19"/>
      <c r="S19" s="19"/>
      <c r="T19" s="20"/>
    </row>
    <row r="20" spans="2:20" ht="26.25" customHeight="1" x14ac:dyDescent="0.25">
      <c r="B20" s="21"/>
      <c r="C20" s="6"/>
      <c r="D20" s="6"/>
      <c r="E20" s="6"/>
      <c r="F20" s="6"/>
      <c r="G20" s="6"/>
      <c r="H20" s="6"/>
      <c r="I20" s="6"/>
      <c r="J20" s="6"/>
      <c r="K20" s="6"/>
      <c r="L20" s="6"/>
      <c r="M20" s="6"/>
      <c r="N20" s="6"/>
      <c r="O20" s="746" t="s">
        <v>718</v>
      </c>
      <c r="P20" s="746"/>
      <c r="Q20" s="746"/>
      <c r="R20" s="6"/>
      <c r="S20" s="6"/>
      <c r="T20" s="22"/>
    </row>
    <row r="21" spans="2:20" x14ac:dyDescent="0.25">
      <c r="B21" s="21"/>
      <c r="C21" s="6"/>
      <c r="D21" s="6"/>
      <c r="E21" s="6"/>
      <c r="F21" s="6"/>
      <c r="G21" s="6"/>
      <c r="H21" s="6"/>
      <c r="I21" s="6"/>
      <c r="J21" s="173"/>
      <c r="K21" s="6"/>
      <c r="L21" s="6"/>
      <c r="M21" s="6"/>
      <c r="N21" s="6"/>
      <c r="O21" s="45" t="str">
        <f>TEXT(cCampagneN,"0000-00")</f>
        <v>N</v>
      </c>
      <c r="P21" s="45" t="str">
        <f>cCampagneN1</f>
        <v>N-1</v>
      </c>
      <c r="Q21" s="45" t="str">
        <f>CCampagneN2</f>
        <v>N-2</v>
      </c>
      <c r="R21" s="6"/>
      <c r="S21" s="6"/>
      <c r="T21" s="22"/>
    </row>
    <row r="22" spans="2:20" x14ac:dyDescent="0.25">
      <c r="B22" s="21"/>
      <c r="C22" s="766" t="s">
        <v>87</v>
      </c>
      <c r="D22" s="766"/>
      <c r="E22" s="766"/>
      <c r="F22" s="766"/>
      <c r="G22" s="766"/>
      <c r="H22" s="766"/>
      <c r="I22" s="766"/>
      <c r="J22" s="766"/>
      <c r="K22" s="766"/>
      <c r="L22" s="766"/>
      <c r="M22" s="766"/>
      <c r="N22" s="49"/>
      <c r="O22" s="80">
        <f>IFERROR(O24+O26+O52+O58+O60,0)</f>
        <v>10</v>
      </c>
      <c r="P22" s="80">
        <f>IFERROR(P24+P26+P52+P58+P60,0)</f>
        <v>0</v>
      </c>
      <c r="Q22" s="80">
        <f>IFERROR(Q24+Q26+Q52+Q58+Q60,0)</f>
        <v>0</v>
      </c>
      <c r="R22" s="6"/>
      <c r="S22" s="6"/>
      <c r="T22" s="22"/>
    </row>
    <row r="23" spans="2:20" ht="6.75" customHeight="1" x14ac:dyDescent="0.25">
      <c r="B23" s="21"/>
      <c r="C23" s="41"/>
      <c r="D23" s="41"/>
      <c r="E23" s="41"/>
      <c r="F23" s="41"/>
      <c r="G23" s="41"/>
      <c r="H23" s="41"/>
      <c r="I23" s="41"/>
      <c r="J23" s="41"/>
      <c r="K23" s="41"/>
      <c r="L23" s="41"/>
      <c r="M23" s="41"/>
      <c r="N23" s="6"/>
      <c r="O23" s="151"/>
      <c r="P23" s="151"/>
      <c r="Q23" s="151"/>
      <c r="R23" s="6"/>
      <c r="S23" s="6"/>
      <c r="T23" s="22"/>
    </row>
    <row r="24" spans="2:20" x14ac:dyDescent="0.25">
      <c r="B24" s="21"/>
      <c r="C24" s="766" t="s">
        <v>71</v>
      </c>
      <c r="D24" s="766"/>
      <c r="E24" s="766"/>
      <c r="F24" s="766"/>
      <c r="G24" s="766"/>
      <c r="H24" s="766"/>
      <c r="I24" s="766"/>
      <c r="J24" s="766"/>
      <c r="K24" s="766"/>
      <c r="L24" s="766"/>
      <c r="M24" s="766"/>
      <c r="N24" s="49"/>
      <c r="O24" s="80">
        <f>IFERROR(O162,0)</f>
        <v>10</v>
      </c>
      <c r="P24" s="80">
        <f t="shared" ref="P24:Q24" si="0">IFERROR(P162,0)</f>
        <v>0</v>
      </c>
      <c r="Q24" s="80">
        <f t="shared" si="0"/>
        <v>0</v>
      </c>
      <c r="R24" s="6"/>
      <c r="S24" s="6"/>
      <c r="T24" s="22"/>
    </row>
    <row r="25" spans="2:20" ht="6.75" customHeight="1" x14ac:dyDescent="0.25">
      <c r="B25" s="21"/>
      <c r="C25" s="41"/>
      <c r="D25" s="41"/>
      <c r="E25" s="41"/>
      <c r="F25" s="41"/>
      <c r="G25" s="41"/>
      <c r="H25" s="41"/>
      <c r="I25" s="41"/>
      <c r="J25" s="41"/>
      <c r="K25" s="41"/>
      <c r="L25" s="41"/>
      <c r="M25" s="41"/>
      <c r="N25" s="6"/>
      <c r="O25" s="151"/>
      <c r="P25" s="151"/>
      <c r="Q25" s="151"/>
      <c r="R25" s="6"/>
      <c r="S25" s="6"/>
      <c r="T25" s="22"/>
    </row>
    <row r="26" spans="2:20" x14ac:dyDescent="0.25">
      <c r="B26" s="21"/>
      <c r="C26" s="766" t="s">
        <v>72</v>
      </c>
      <c r="D26" s="766"/>
      <c r="E26" s="766"/>
      <c r="F26" s="766"/>
      <c r="G26" s="766"/>
      <c r="H26" s="766"/>
      <c r="I26" s="766"/>
      <c r="J26" s="766"/>
      <c r="K26" s="766"/>
      <c r="L26" s="766"/>
      <c r="M26" s="766"/>
      <c r="N26" s="49"/>
      <c r="O26" s="80">
        <f>SUM(O28:O34,O37:O43,O46:O48,O50)</f>
        <v>0</v>
      </c>
      <c r="P26" s="80">
        <f t="shared" ref="P26:Q26" si="1">SUM(P28:P34,P37:P43,P46:P48,P50)</f>
        <v>0</v>
      </c>
      <c r="Q26" s="80">
        <f t="shared" si="1"/>
        <v>0</v>
      </c>
      <c r="R26" s="6"/>
      <c r="S26" s="6"/>
      <c r="T26" s="22"/>
    </row>
    <row r="27" spans="2:20" ht="6.75" customHeight="1" x14ac:dyDescent="0.25">
      <c r="B27" s="21"/>
      <c r="C27" s="41"/>
      <c r="D27" s="41"/>
      <c r="E27" s="41"/>
      <c r="F27" s="41"/>
      <c r="G27" s="41"/>
      <c r="H27" s="41"/>
      <c r="I27" s="41"/>
      <c r="J27" s="41"/>
      <c r="K27" s="41"/>
      <c r="L27" s="41"/>
      <c r="M27" s="41"/>
      <c r="N27" s="6"/>
      <c r="O27" s="151"/>
      <c r="P27" s="151"/>
      <c r="Q27" s="151"/>
      <c r="R27" s="6"/>
      <c r="S27" s="6"/>
      <c r="T27" s="22"/>
    </row>
    <row r="28" spans="2:20" x14ac:dyDescent="0.25">
      <c r="B28" s="21"/>
      <c r="C28" s="51" t="s">
        <v>73</v>
      </c>
      <c r="D28" s="51"/>
      <c r="E28" s="51"/>
      <c r="F28" s="51"/>
      <c r="G28" s="51"/>
      <c r="H28" s="51"/>
      <c r="I28" s="51"/>
      <c r="J28" s="51"/>
      <c r="K28" s="51"/>
      <c r="L28" s="51"/>
      <c r="M28" s="51"/>
      <c r="N28" s="47"/>
      <c r="O28" s="533"/>
      <c r="P28" s="533"/>
      <c r="Q28" s="533"/>
      <c r="R28" s="6"/>
      <c r="S28" s="6"/>
      <c r="T28" s="22"/>
    </row>
    <row r="29" spans="2:20" x14ac:dyDescent="0.25">
      <c r="B29" s="21"/>
      <c r="C29" s="52" t="s">
        <v>99</v>
      </c>
      <c r="D29" s="52"/>
      <c r="E29" s="52"/>
      <c r="F29" s="52"/>
      <c r="G29" s="52"/>
      <c r="H29" s="52"/>
      <c r="I29" s="52"/>
      <c r="J29" s="52"/>
      <c r="K29" s="52"/>
      <c r="L29" s="52"/>
      <c r="M29" s="52"/>
      <c r="N29" s="48"/>
      <c r="O29" s="533"/>
      <c r="P29" s="533"/>
      <c r="Q29" s="533"/>
      <c r="R29" s="6"/>
      <c r="S29" s="6"/>
      <c r="T29" s="22"/>
    </row>
    <row r="30" spans="2:20" x14ac:dyDescent="0.25">
      <c r="B30" s="21"/>
      <c r="C30" s="52" t="s">
        <v>74</v>
      </c>
      <c r="D30" s="52"/>
      <c r="E30" s="52"/>
      <c r="F30" s="52"/>
      <c r="G30" s="52"/>
      <c r="H30" s="52"/>
      <c r="I30" s="52"/>
      <c r="J30" s="52"/>
      <c r="K30" s="52"/>
      <c r="L30" s="52"/>
      <c r="M30" s="52"/>
      <c r="N30" s="48"/>
      <c r="O30" s="533"/>
      <c r="P30" s="533"/>
      <c r="Q30" s="533"/>
      <c r="R30" s="6"/>
      <c r="S30" s="6"/>
      <c r="T30" s="22"/>
    </row>
    <row r="31" spans="2:20" x14ac:dyDescent="0.25">
      <c r="B31" s="21"/>
      <c r="C31" s="52" t="s">
        <v>75</v>
      </c>
      <c r="D31" s="52"/>
      <c r="E31" s="52"/>
      <c r="F31" s="52"/>
      <c r="G31" s="52"/>
      <c r="H31" s="52"/>
      <c r="I31" s="52"/>
      <c r="J31" s="52"/>
      <c r="K31" s="52"/>
      <c r="L31" s="52"/>
      <c r="M31" s="52"/>
      <c r="N31" s="48"/>
      <c r="O31" s="533"/>
      <c r="P31" s="533"/>
      <c r="Q31" s="533"/>
      <c r="R31" s="6"/>
      <c r="S31" s="6"/>
      <c r="T31" s="22"/>
    </row>
    <row r="32" spans="2:20" x14ac:dyDescent="0.25">
      <c r="B32" s="21"/>
      <c r="C32" s="52" t="s">
        <v>76</v>
      </c>
      <c r="D32" s="52"/>
      <c r="E32" s="52"/>
      <c r="F32" s="52"/>
      <c r="G32" s="52"/>
      <c r="H32" s="52"/>
      <c r="I32" s="52"/>
      <c r="J32" s="52"/>
      <c r="K32" s="52"/>
      <c r="L32" s="52"/>
      <c r="M32" s="52"/>
      <c r="N32" s="48"/>
      <c r="O32" s="533"/>
      <c r="P32" s="533"/>
      <c r="Q32" s="533"/>
      <c r="R32" s="6"/>
      <c r="S32" s="6"/>
      <c r="T32" s="22"/>
    </row>
    <row r="33" spans="2:20" x14ac:dyDescent="0.25">
      <c r="B33" s="21"/>
      <c r="C33" s="52" t="s">
        <v>77</v>
      </c>
      <c r="D33" s="52"/>
      <c r="E33" s="52"/>
      <c r="F33" s="52"/>
      <c r="G33" s="52"/>
      <c r="H33" s="52"/>
      <c r="I33" s="52"/>
      <c r="J33" s="52"/>
      <c r="K33" s="52"/>
      <c r="L33" s="52"/>
      <c r="M33" s="52"/>
      <c r="N33" s="48"/>
      <c r="O33" s="533"/>
      <c r="P33" s="533"/>
      <c r="Q33" s="533"/>
      <c r="R33" s="6"/>
      <c r="S33" s="6"/>
      <c r="T33" s="22"/>
    </row>
    <row r="34" spans="2:20" x14ac:dyDescent="0.25">
      <c r="B34" s="21"/>
      <c r="C34" s="52" t="s">
        <v>78</v>
      </c>
      <c r="D34" s="52"/>
      <c r="E34" s="52"/>
      <c r="F34" s="52"/>
      <c r="G34" s="52"/>
      <c r="H34" s="52"/>
      <c r="I34" s="52"/>
      <c r="J34" s="52"/>
      <c r="K34" s="52"/>
      <c r="L34" s="52"/>
      <c r="M34" s="52"/>
      <c r="N34" s="48"/>
      <c r="O34" s="533"/>
      <c r="P34" s="533"/>
      <c r="Q34" s="533"/>
      <c r="R34" s="6"/>
      <c r="S34" s="6"/>
      <c r="T34" s="22"/>
    </row>
    <row r="35" spans="2:20" ht="6.75" customHeight="1" x14ac:dyDescent="0.25">
      <c r="B35" s="21"/>
      <c r="C35" s="6"/>
      <c r="D35" s="6"/>
      <c r="E35" s="6"/>
      <c r="F35" s="6"/>
      <c r="G35" s="6"/>
      <c r="H35" s="6"/>
      <c r="I35" s="6"/>
      <c r="J35" s="6"/>
      <c r="K35" s="6"/>
      <c r="L35" s="6"/>
      <c r="M35" s="6"/>
      <c r="N35" s="6"/>
      <c r="O35" s="152"/>
      <c r="P35" s="152"/>
      <c r="Q35" s="152"/>
      <c r="R35" s="6"/>
      <c r="S35" s="6"/>
      <c r="T35" s="22"/>
    </row>
    <row r="36" spans="2:20" x14ac:dyDescent="0.25">
      <c r="B36" s="21"/>
      <c r="C36" s="768" t="s">
        <v>79</v>
      </c>
      <c r="D36" s="768"/>
      <c r="E36" s="768"/>
      <c r="F36" s="768"/>
      <c r="G36" s="768"/>
      <c r="H36" s="768"/>
      <c r="I36" s="768"/>
      <c r="J36" s="768"/>
      <c r="K36" s="768"/>
      <c r="L36" s="768"/>
      <c r="M36" s="768"/>
      <c r="N36" s="6"/>
      <c r="O36" s="152"/>
      <c r="P36" s="152"/>
      <c r="Q36" s="152"/>
      <c r="R36" s="6"/>
      <c r="S36" s="6"/>
      <c r="T36" s="22"/>
    </row>
    <row r="37" spans="2:20" x14ac:dyDescent="0.25">
      <c r="B37" s="21"/>
      <c r="C37" s="203" t="s">
        <v>2336</v>
      </c>
      <c r="D37" s="203"/>
      <c r="E37" s="203"/>
      <c r="F37" s="203"/>
      <c r="G37" s="203"/>
      <c r="H37" s="203"/>
      <c r="I37" s="203"/>
      <c r="J37" s="203"/>
      <c r="K37" s="203"/>
      <c r="L37" s="203"/>
      <c r="M37" s="51"/>
      <c r="N37" s="47"/>
      <c r="O37" s="533"/>
      <c r="P37" s="533"/>
      <c r="Q37" s="533"/>
      <c r="R37" s="6"/>
      <c r="S37" s="6"/>
      <c r="T37" s="22"/>
    </row>
    <row r="38" spans="2:20" x14ac:dyDescent="0.25">
      <c r="B38" s="21"/>
      <c r="C38" s="202" t="s">
        <v>88</v>
      </c>
      <c r="D38" s="202"/>
      <c r="E38" s="202"/>
      <c r="F38" s="202"/>
      <c r="G38" s="202"/>
      <c r="H38" s="202"/>
      <c r="I38" s="202"/>
      <c r="J38" s="202"/>
      <c r="K38" s="202"/>
      <c r="L38" s="202"/>
      <c r="M38" s="52"/>
      <c r="N38" s="48"/>
      <c r="O38" s="533"/>
      <c r="P38" s="533"/>
      <c r="Q38" s="533"/>
      <c r="R38" s="6"/>
      <c r="S38" s="6"/>
      <c r="T38" s="22"/>
    </row>
    <row r="39" spans="2:20" x14ac:dyDescent="0.25">
      <c r="B39" s="21"/>
      <c r="C39" s="202" t="s">
        <v>89</v>
      </c>
      <c r="D39" s="202"/>
      <c r="E39" s="202"/>
      <c r="F39" s="202"/>
      <c r="G39" s="202"/>
      <c r="H39" s="202"/>
      <c r="I39" s="202"/>
      <c r="J39" s="202"/>
      <c r="K39" s="202"/>
      <c r="L39" s="202"/>
      <c r="M39" s="52"/>
      <c r="N39" s="48"/>
      <c r="O39" s="533"/>
      <c r="P39" s="533"/>
      <c r="Q39" s="533"/>
      <c r="R39" s="6"/>
      <c r="S39" s="6"/>
      <c r="T39" s="22"/>
    </row>
    <row r="40" spans="2:20" x14ac:dyDescent="0.25">
      <c r="B40" s="21"/>
      <c r="C40" s="202" t="s">
        <v>90</v>
      </c>
      <c r="D40" s="202"/>
      <c r="E40" s="202"/>
      <c r="F40" s="202"/>
      <c r="G40" s="202"/>
      <c r="H40" s="202"/>
      <c r="I40" s="202"/>
      <c r="J40" s="202"/>
      <c r="K40" s="202"/>
      <c r="L40" s="202"/>
      <c r="M40" s="52"/>
      <c r="N40" s="48"/>
      <c r="O40" s="533"/>
      <c r="P40" s="533"/>
      <c r="Q40" s="533"/>
      <c r="R40" s="6"/>
      <c r="S40" s="6"/>
      <c r="T40" s="22"/>
    </row>
    <row r="41" spans="2:20" x14ac:dyDescent="0.25">
      <c r="B41" s="21"/>
      <c r="C41" s="202" t="s">
        <v>91</v>
      </c>
      <c r="D41" s="202"/>
      <c r="E41" s="202"/>
      <c r="F41" s="202"/>
      <c r="G41" s="202"/>
      <c r="H41" s="202"/>
      <c r="I41" s="202"/>
      <c r="J41" s="202"/>
      <c r="K41" s="202"/>
      <c r="L41" s="202"/>
      <c r="M41" s="52"/>
      <c r="N41" s="48"/>
      <c r="O41" s="533"/>
      <c r="P41" s="533"/>
      <c r="Q41" s="533"/>
      <c r="R41" s="6"/>
      <c r="S41" s="6"/>
      <c r="T41" s="22"/>
    </row>
    <row r="42" spans="2:20" x14ac:dyDescent="0.25">
      <c r="B42" s="21"/>
      <c r="C42" s="202" t="s">
        <v>92</v>
      </c>
      <c r="D42" s="202"/>
      <c r="E42" s="202"/>
      <c r="F42" s="202"/>
      <c r="G42" s="202"/>
      <c r="H42" s="202"/>
      <c r="I42" s="202"/>
      <c r="J42" s="202"/>
      <c r="K42" s="202"/>
      <c r="L42" s="202"/>
      <c r="M42" s="52"/>
      <c r="N42" s="48"/>
      <c r="O42" s="533"/>
      <c r="P42" s="533"/>
      <c r="Q42" s="533"/>
      <c r="R42" s="6"/>
      <c r="S42" s="6"/>
      <c r="T42" s="22"/>
    </row>
    <row r="43" spans="2:20" x14ac:dyDescent="0.25">
      <c r="B43" s="21"/>
      <c r="C43" s="202" t="s">
        <v>2337</v>
      </c>
      <c r="D43" s="202"/>
      <c r="E43" s="202"/>
      <c r="F43" s="202"/>
      <c r="G43" s="202"/>
      <c r="H43" s="202"/>
      <c r="I43" s="202"/>
      <c r="J43" s="202"/>
      <c r="K43" s="202"/>
      <c r="L43" s="202"/>
      <c r="M43" s="52"/>
      <c r="N43" s="48"/>
      <c r="O43" s="533"/>
      <c r="P43" s="533"/>
      <c r="Q43" s="533"/>
      <c r="R43" s="6"/>
      <c r="S43" s="6"/>
      <c r="T43" s="22"/>
    </row>
    <row r="44" spans="2:20" x14ac:dyDescent="0.25">
      <c r="B44" s="21"/>
      <c r="C44" s="6"/>
      <c r="D44" s="6"/>
      <c r="E44" s="6"/>
      <c r="F44" s="6"/>
      <c r="G44" s="6"/>
      <c r="H44" s="6"/>
      <c r="I44" s="6"/>
      <c r="J44" s="6"/>
      <c r="K44" s="6"/>
      <c r="L44" s="6"/>
      <c r="M44" s="6"/>
      <c r="N44" s="6"/>
      <c r="O44" s="6"/>
      <c r="P44" s="6"/>
      <c r="Q44" s="6"/>
      <c r="R44" s="6"/>
      <c r="S44" s="6"/>
      <c r="T44" s="22"/>
    </row>
    <row r="45" spans="2:20" ht="31.5" customHeight="1" x14ac:dyDescent="0.25">
      <c r="B45" s="21"/>
      <c r="C45" s="767" t="s">
        <v>80</v>
      </c>
      <c r="D45" s="767"/>
      <c r="E45" s="767"/>
      <c r="F45" s="767"/>
      <c r="G45" s="767"/>
      <c r="H45" s="767"/>
      <c r="I45" s="767"/>
      <c r="J45" s="767"/>
      <c r="K45" s="767"/>
      <c r="L45" s="767"/>
      <c r="M45" s="767"/>
      <c r="N45" s="6"/>
      <c r="O45" s="6"/>
      <c r="P45" s="6"/>
      <c r="Q45" s="6"/>
      <c r="R45" s="6"/>
      <c r="S45" s="6"/>
      <c r="T45" s="22"/>
    </row>
    <row r="46" spans="2:20" x14ac:dyDescent="0.25">
      <c r="B46" s="21"/>
      <c r="C46" s="51" t="s">
        <v>93</v>
      </c>
      <c r="D46" s="51"/>
      <c r="E46" s="51"/>
      <c r="F46" s="51"/>
      <c r="G46" s="51"/>
      <c r="H46" s="51"/>
      <c r="I46" s="51"/>
      <c r="J46" s="51"/>
      <c r="K46" s="51"/>
      <c r="L46" s="51"/>
      <c r="M46" s="51"/>
      <c r="N46" s="47"/>
      <c r="O46" s="533"/>
      <c r="P46" s="533"/>
      <c r="Q46" s="533"/>
      <c r="R46" s="6"/>
      <c r="S46" s="6"/>
      <c r="T46" s="22"/>
    </row>
    <row r="47" spans="2:20" x14ac:dyDescent="0.25">
      <c r="B47" s="21"/>
      <c r="C47" s="51" t="s">
        <v>94</v>
      </c>
      <c r="D47" s="51"/>
      <c r="E47" s="51"/>
      <c r="F47" s="51"/>
      <c r="G47" s="51"/>
      <c r="H47" s="51"/>
      <c r="I47" s="51"/>
      <c r="J47" s="51"/>
      <c r="K47" s="51"/>
      <c r="L47" s="51"/>
      <c r="M47" s="51"/>
      <c r="N47" s="47"/>
      <c r="O47" s="533"/>
      <c r="P47" s="533"/>
      <c r="Q47" s="533"/>
      <c r="R47" s="6"/>
      <c r="S47" s="6"/>
      <c r="T47" s="22"/>
    </row>
    <row r="48" spans="2:20" x14ac:dyDescent="0.25">
      <c r="B48" s="21"/>
      <c r="C48" s="51" t="s">
        <v>95</v>
      </c>
      <c r="D48" s="51"/>
      <c r="E48" s="51"/>
      <c r="F48" s="51"/>
      <c r="G48" s="51"/>
      <c r="H48" s="51"/>
      <c r="I48" s="51"/>
      <c r="J48" s="51"/>
      <c r="K48" s="51"/>
      <c r="L48" s="51"/>
      <c r="M48" s="51"/>
      <c r="N48" s="47"/>
      <c r="O48" s="533"/>
      <c r="P48" s="533"/>
      <c r="Q48" s="533"/>
      <c r="R48" s="6"/>
      <c r="S48" s="6"/>
      <c r="T48" s="22"/>
    </row>
    <row r="49" spans="2:20" x14ac:dyDescent="0.25">
      <c r="B49" s="21"/>
      <c r="C49" s="6"/>
      <c r="D49" s="6"/>
      <c r="E49" s="6"/>
      <c r="F49" s="6"/>
      <c r="G49" s="6"/>
      <c r="H49" s="6"/>
      <c r="I49" s="6"/>
      <c r="J49" s="6"/>
      <c r="K49" s="6"/>
      <c r="L49" s="6"/>
      <c r="M49" s="6"/>
      <c r="N49" s="6"/>
      <c r="O49" s="152"/>
      <c r="P49" s="152"/>
      <c r="Q49" s="152"/>
      <c r="R49" s="6"/>
      <c r="S49" s="6"/>
      <c r="T49" s="22"/>
    </row>
    <row r="50" spans="2:20" ht="34.5" customHeight="1" x14ac:dyDescent="0.25">
      <c r="B50" s="21"/>
      <c r="C50" s="767" t="s">
        <v>81</v>
      </c>
      <c r="D50" s="767"/>
      <c r="E50" s="767"/>
      <c r="F50" s="767"/>
      <c r="G50" s="767"/>
      <c r="H50" s="767"/>
      <c r="I50" s="767"/>
      <c r="J50" s="767"/>
      <c r="K50" s="767"/>
      <c r="L50" s="767"/>
      <c r="M50" s="767"/>
      <c r="N50" s="6"/>
      <c r="O50" s="533"/>
      <c r="P50" s="533"/>
      <c r="Q50" s="533"/>
      <c r="R50" s="6"/>
      <c r="S50" s="6"/>
      <c r="T50" s="22"/>
    </row>
    <row r="51" spans="2:20" ht="6.75" customHeight="1" x14ac:dyDescent="0.25">
      <c r="B51" s="21"/>
      <c r="C51" s="6"/>
      <c r="D51" s="6"/>
      <c r="E51" s="6"/>
      <c r="F51" s="6"/>
      <c r="G51" s="6"/>
      <c r="H51" s="6"/>
      <c r="I51" s="6"/>
      <c r="J51" s="6"/>
      <c r="K51" s="6"/>
      <c r="L51" s="6"/>
      <c r="M51" s="6"/>
      <c r="N51" s="6"/>
      <c r="O51" s="152"/>
      <c r="P51" s="152"/>
      <c r="Q51" s="152"/>
      <c r="R51" s="6"/>
      <c r="S51" s="6"/>
      <c r="T51" s="22"/>
    </row>
    <row r="52" spans="2:20" x14ac:dyDescent="0.25">
      <c r="B52" s="21"/>
      <c r="C52" s="43" t="s">
        <v>82</v>
      </c>
      <c r="D52" s="44"/>
      <c r="E52" s="44"/>
      <c r="F52" s="44"/>
      <c r="G52" s="44"/>
      <c r="H52" s="44"/>
      <c r="I52" s="44"/>
      <c r="J52" s="44"/>
      <c r="K52" s="44"/>
      <c r="L52" s="44"/>
      <c r="M52" s="44"/>
      <c r="N52" s="6"/>
      <c r="O52" s="80">
        <f>SUM(O54:O56)</f>
        <v>0</v>
      </c>
      <c r="P52" s="80">
        <f>SUM(P54:P56)</f>
        <v>0</v>
      </c>
      <c r="Q52" s="80">
        <f>SUM(Q54:Q56)</f>
        <v>0</v>
      </c>
      <c r="R52" s="6"/>
      <c r="S52" s="6"/>
      <c r="T52" s="22"/>
    </row>
    <row r="53" spans="2:20" ht="6.75" customHeight="1" x14ac:dyDescent="0.25">
      <c r="B53" s="21"/>
      <c r="C53" s="6"/>
      <c r="D53" s="6"/>
      <c r="E53" s="6"/>
      <c r="F53" s="6"/>
      <c r="G53" s="6"/>
      <c r="H53" s="6"/>
      <c r="I53" s="6"/>
      <c r="J53" s="6"/>
      <c r="K53" s="6"/>
      <c r="L53" s="6"/>
      <c r="M53" s="6"/>
      <c r="N53" s="6"/>
      <c r="O53" s="152"/>
      <c r="P53" s="152"/>
      <c r="Q53" s="152"/>
      <c r="R53" s="6"/>
      <c r="S53" s="6"/>
      <c r="T53" s="22"/>
    </row>
    <row r="54" spans="2:20" x14ac:dyDescent="0.25">
      <c r="B54" s="21"/>
      <c r="C54" s="51" t="s">
        <v>83</v>
      </c>
      <c r="D54" s="51"/>
      <c r="E54" s="51"/>
      <c r="F54" s="51"/>
      <c r="G54" s="51"/>
      <c r="H54" s="51"/>
      <c r="I54" s="51"/>
      <c r="J54" s="51"/>
      <c r="K54" s="51"/>
      <c r="L54" s="51"/>
      <c r="M54" s="51"/>
      <c r="N54" s="51"/>
      <c r="O54" s="533"/>
      <c r="P54" s="533"/>
      <c r="Q54" s="533"/>
      <c r="R54" s="6"/>
      <c r="S54" s="6"/>
      <c r="T54" s="22"/>
    </row>
    <row r="55" spans="2:20" x14ac:dyDescent="0.25">
      <c r="B55" s="21"/>
      <c r="C55" s="52" t="s">
        <v>84</v>
      </c>
      <c r="D55" s="52"/>
      <c r="E55" s="52"/>
      <c r="F55" s="52"/>
      <c r="G55" s="52"/>
      <c r="H55" s="52"/>
      <c r="I55" s="52"/>
      <c r="J55" s="52"/>
      <c r="K55" s="52"/>
      <c r="L55" s="52"/>
      <c r="M55" s="52"/>
      <c r="N55" s="52"/>
      <c r="O55" s="533"/>
      <c r="P55" s="533"/>
      <c r="Q55" s="533"/>
      <c r="R55" s="6"/>
      <c r="S55" s="6"/>
      <c r="T55" s="22"/>
    </row>
    <row r="56" spans="2:20" x14ac:dyDescent="0.25">
      <c r="B56" s="21"/>
      <c r="C56" s="52" t="s">
        <v>85</v>
      </c>
      <c r="D56" s="52"/>
      <c r="E56" s="52"/>
      <c r="F56" s="52"/>
      <c r="G56" s="52"/>
      <c r="H56" s="52"/>
      <c r="I56" s="52"/>
      <c r="J56" s="52"/>
      <c r="K56" s="52"/>
      <c r="L56" s="52"/>
      <c r="M56" s="52"/>
      <c r="N56" s="52"/>
      <c r="O56" s="533"/>
      <c r="P56" s="533"/>
      <c r="Q56" s="533"/>
      <c r="R56" s="6"/>
      <c r="S56" s="6"/>
      <c r="T56" s="22"/>
    </row>
    <row r="57" spans="2:20" ht="6.75" customHeight="1" x14ac:dyDescent="0.25">
      <c r="B57" s="21"/>
      <c r="C57" s="6"/>
      <c r="D57" s="6"/>
      <c r="E57" s="6"/>
      <c r="F57" s="6"/>
      <c r="G57" s="6"/>
      <c r="H57" s="6"/>
      <c r="I57" s="6"/>
      <c r="J57" s="6"/>
      <c r="K57" s="6"/>
      <c r="L57" s="6"/>
      <c r="M57" s="6"/>
      <c r="N57" s="6"/>
      <c r="O57" s="152"/>
      <c r="P57" s="152"/>
      <c r="Q57" s="152"/>
      <c r="R57" s="6"/>
      <c r="S57" s="6"/>
      <c r="T57" s="22"/>
    </row>
    <row r="58" spans="2:20" x14ac:dyDescent="0.25">
      <c r="B58" s="21"/>
      <c r="C58" s="43" t="s">
        <v>86</v>
      </c>
      <c r="D58" s="44"/>
      <c r="E58" s="44"/>
      <c r="F58" s="44"/>
      <c r="G58" s="44"/>
      <c r="H58" s="44"/>
      <c r="I58" s="44"/>
      <c r="J58" s="44"/>
      <c r="K58" s="44"/>
      <c r="L58" s="44"/>
      <c r="M58" s="44"/>
      <c r="N58" s="49"/>
      <c r="O58" s="533"/>
      <c r="P58" s="533"/>
      <c r="Q58" s="533"/>
      <c r="R58" s="6"/>
      <c r="S58" s="6"/>
      <c r="T58" s="22"/>
    </row>
    <row r="59" spans="2:20" ht="6.75" customHeight="1" x14ac:dyDescent="0.25">
      <c r="B59" s="21"/>
      <c r="C59" s="46"/>
      <c r="D59" s="6"/>
      <c r="E59" s="6"/>
      <c r="F59" s="6"/>
      <c r="G59" s="6"/>
      <c r="H59" s="6"/>
      <c r="I59" s="6"/>
      <c r="J59" s="6"/>
      <c r="K59" s="6"/>
      <c r="L59" s="6"/>
      <c r="M59" s="6"/>
      <c r="N59" s="6"/>
      <c r="O59" s="152"/>
      <c r="P59" s="152"/>
      <c r="Q59" s="152"/>
      <c r="R59" s="6"/>
      <c r="S59" s="6"/>
      <c r="T59" s="22"/>
    </row>
    <row r="60" spans="2:20" x14ac:dyDescent="0.25">
      <c r="B60" s="21"/>
      <c r="C60" s="43" t="s">
        <v>101</v>
      </c>
      <c r="D60" s="44"/>
      <c r="E60" s="44"/>
      <c r="F60" s="44"/>
      <c r="G60" s="44"/>
      <c r="H60" s="44"/>
      <c r="I60" s="44"/>
      <c r="J60" s="44"/>
      <c r="K60" s="44"/>
      <c r="L60" s="44"/>
      <c r="M60" s="44"/>
      <c r="N60" s="49"/>
      <c r="O60" s="533"/>
      <c r="P60" s="533"/>
      <c r="Q60" s="533"/>
      <c r="R60" s="6"/>
      <c r="S60" s="6"/>
      <c r="T60" s="22"/>
    </row>
    <row r="61" spans="2:20" x14ac:dyDescent="0.25">
      <c r="B61" s="21"/>
      <c r="C61" s="6"/>
      <c r="D61" s="6"/>
      <c r="E61" s="6"/>
      <c r="F61" s="6"/>
      <c r="G61" s="6"/>
      <c r="H61" s="6"/>
      <c r="I61" s="6"/>
      <c r="J61" s="6"/>
      <c r="K61" s="6"/>
      <c r="L61" s="6"/>
      <c r="M61" s="6"/>
      <c r="N61" s="6"/>
      <c r="O61" s="6"/>
      <c r="P61" s="6"/>
      <c r="Q61" s="6"/>
      <c r="R61" s="6"/>
      <c r="S61" s="6"/>
      <c r="T61" s="22"/>
    </row>
    <row r="62" spans="2:20" ht="15.75" thickBot="1" x14ac:dyDescent="0.3">
      <c r="B62" s="24"/>
      <c r="C62" s="25"/>
      <c r="D62" s="25"/>
      <c r="E62" s="25"/>
      <c r="F62" s="25"/>
      <c r="G62" s="25"/>
      <c r="H62" s="25"/>
      <c r="I62" s="25"/>
      <c r="J62" s="25"/>
      <c r="K62" s="25"/>
      <c r="L62" s="25"/>
      <c r="M62" s="25"/>
      <c r="N62" s="25"/>
      <c r="O62" s="25"/>
      <c r="P62" s="25"/>
      <c r="Q62" s="25"/>
      <c r="R62" s="25"/>
      <c r="S62" s="25"/>
      <c r="T62" s="26"/>
    </row>
    <row r="64" spans="2:20" x14ac:dyDescent="0.25">
      <c r="C64" s="145" t="s">
        <v>2599</v>
      </c>
      <c r="D64" s="146" t="s">
        <v>100</v>
      </c>
      <c r="E64" s="147"/>
      <c r="F64" s="147"/>
      <c r="G64" s="147"/>
      <c r="H64" s="147"/>
      <c r="I64" s="147"/>
      <c r="J64" s="147"/>
      <c r="K64" s="147"/>
      <c r="L64" s="147"/>
      <c r="M64" s="147"/>
      <c r="N64" s="147"/>
      <c r="O64" s="147"/>
      <c r="P64" s="147"/>
      <c r="Q64" s="179"/>
    </row>
    <row r="65" spans="2:20" x14ac:dyDescent="0.25">
      <c r="C65" s="148" t="s">
        <v>2601</v>
      </c>
      <c r="D65" s="6"/>
      <c r="E65" s="6"/>
      <c r="F65" s="6"/>
      <c r="G65" s="6"/>
      <c r="H65" s="6"/>
      <c r="I65" s="6"/>
      <c r="J65" s="6"/>
      <c r="K65" s="6"/>
      <c r="L65" s="6"/>
      <c r="M65" s="6"/>
      <c r="N65" s="6"/>
      <c r="O65" s="6"/>
      <c r="P65" s="6"/>
      <c r="Q65" s="177"/>
    </row>
    <row r="66" spans="2:20" x14ac:dyDescent="0.25">
      <c r="C66" s="148" t="s">
        <v>2602</v>
      </c>
      <c r="D66" s="6"/>
      <c r="E66" s="6"/>
      <c r="F66" s="6"/>
      <c r="G66" s="6"/>
      <c r="H66" s="6"/>
      <c r="I66" s="6"/>
      <c r="J66" s="6"/>
      <c r="K66" s="6"/>
      <c r="L66" s="6"/>
      <c r="M66" s="6"/>
      <c r="N66" s="6"/>
      <c r="O66" s="6"/>
      <c r="P66" s="6"/>
      <c r="Q66" s="177"/>
    </row>
    <row r="67" spans="2:20" x14ac:dyDescent="0.25">
      <c r="C67" s="148" t="s">
        <v>2603</v>
      </c>
      <c r="D67" s="6"/>
      <c r="E67" s="6"/>
      <c r="F67" s="6"/>
      <c r="G67" s="6"/>
      <c r="H67" s="6"/>
      <c r="I67" s="6"/>
      <c r="J67" s="6"/>
      <c r="K67" s="6"/>
      <c r="L67" s="6"/>
      <c r="M67" s="6"/>
      <c r="N67" s="6"/>
      <c r="O67" s="6"/>
      <c r="P67" s="6"/>
      <c r="Q67" s="177"/>
    </row>
    <row r="68" spans="2:20" x14ac:dyDescent="0.25">
      <c r="C68" s="149" t="s">
        <v>2600</v>
      </c>
      <c r="D68" s="150"/>
      <c r="E68" s="150"/>
      <c r="F68" s="150"/>
      <c r="G68" s="150"/>
      <c r="H68" s="150"/>
      <c r="I68" s="150"/>
      <c r="J68" s="150"/>
      <c r="K68" s="150"/>
      <c r="L68" s="150"/>
      <c r="M68" s="150"/>
      <c r="N68" s="150"/>
      <c r="O68" s="150"/>
      <c r="P68" s="150"/>
      <c r="Q68" s="180"/>
    </row>
    <row r="71" spans="2:20" ht="15.75" thickBot="1" x14ac:dyDescent="0.3">
      <c r="C71" s="53"/>
    </row>
    <row r="72" spans="2:20" x14ac:dyDescent="0.25">
      <c r="B72" s="18"/>
      <c r="C72" s="19"/>
      <c r="D72" s="19"/>
      <c r="E72" s="19"/>
      <c r="F72" s="19"/>
      <c r="G72" s="19"/>
      <c r="H72" s="19"/>
      <c r="I72" s="19"/>
      <c r="J72" s="19"/>
      <c r="K72" s="19"/>
      <c r="L72" s="19"/>
      <c r="M72" s="19"/>
      <c r="N72" s="19"/>
      <c r="O72" s="204"/>
      <c r="P72" s="50"/>
      <c r="Q72" s="19"/>
      <c r="R72" s="19"/>
      <c r="S72" s="19"/>
      <c r="T72" s="20"/>
    </row>
    <row r="73" spans="2:20" x14ac:dyDescent="0.25">
      <c r="B73" s="21"/>
      <c r="C73" s="6"/>
      <c r="D73" s="6"/>
      <c r="E73" s="6"/>
      <c r="F73" s="6"/>
      <c r="G73" s="6"/>
      <c r="H73" s="6"/>
      <c r="I73" s="6"/>
      <c r="J73" s="6"/>
      <c r="K73" s="6"/>
      <c r="L73" s="6"/>
      <c r="M73" s="6"/>
      <c r="N73" s="6"/>
      <c r="O73" s="78"/>
      <c r="P73" s="78"/>
      <c r="Q73" s="6"/>
      <c r="R73" s="6"/>
      <c r="S73" s="6"/>
      <c r="T73" s="22"/>
    </row>
    <row r="74" spans="2:20" x14ac:dyDescent="0.25">
      <c r="B74" s="21"/>
      <c r="C74" s="6"/>
      <c r="D74" s="6"/>
      <c r="E74" s="6"/>
      <c r="F74" s="6"/>
      <c r="G74" s="6"/>
      <c r="H74" s="6"/>
      <c r="I74" s="6"/>
      <c r="J74" s="6"/>
      <c r="K74" s="6"/>
      <c r="L74" s="6"/>
      <c r="M74" s="6"/>
      <c r="N74" s="6"/>
      <c r="O74" s="746" t="s">
        <v>718</v>
      </c>
      <c r="P74" s="746"/>
      <c r="Q74" s="746"/>
      <c r="R74" s="6"/>
      <c r="S74" s="6"/>
      <c r="T74" s="22"/>
    </row>
    <row r="75" spans="2:20" x14ac:dyDescent="0.25">
      <c r="B75" s="21"/>
      <c r="C75" s="6"/>
      <c r="D75" s="6"/>
      <c r="E75" s="6"/>
      <c r="F75" s="6"/>
      <c r="G75" s="6"/>
      <c r="H75" s="6"/>
      <c r="I75" s="6"/>
      <c r="J75" s="6"/>
      <c r="K75" s="6"/>
      <c r="L75" s="6"/>
      <c r="M75" s="6"/>
      <c r="N75" s="6"/>
      <c r="O75" s="439" t="str">
        <f>TEXT(cCampagneN,"0000-00")</f>
        <v>N</v>
      </c>
      <c r="P75" s="439" t="str">
        <f>cCampagneN1</f>
        <v>N-1</v>
      </c>
      <c r="Q75" s="439" t="str">
        <f>CCampagneN2</f>
        <v>N-2</v>
      </c>
      <c r="R75" s="6"/>
      <c r="S75" s="6"/>
      <c r="T75" s="22"/>
    </row>
    <row r="76" spans="2:20" ht="15.75" x14ac:dyDescent="0.25">
      <c r="B76" s="21"/>
      <c r="C76" s="744" t="s">
        <v>102</v>
      </c>
      <c r="D76" s="745"/>
      <c r="E76" s="745"/>
      <c r="F76" s="745"/>
      <c r="G76" s="745"/>
      <c r="H76" s="745"/>
      <c r="I76" s="745"/>
      <c r="J76" s="745"/>
      <c r="K76" s="745"/>
      <c r="L76" s="745"/>
      <c r="M76" s="745"/>
      <c r="N76" s="56"/>
      <c r="O76" s="56"/>
      <c r="P76" s="56"/>
      <c r="Q76" s="56"/>
      <c r="R76" s="681"/>
      <c r="S76" s="187"/>
      <c r="T76" s="22"/>
    </row>
    <row r="77" spans="2:20" x14ac:dyDescent="0.25">
      <c r="B77" s="21"/>
      <c r="C77" s="58" t="s">
        <v>103</v>
      </c>
      <c r="D77" s="51"/>
      <c r="E77" s="51"/>
      <c r="F77" s="51"/>
      <c r="G77" s="51"/>
      <c r="H77" s="51"/>
      <c r="I77" s="51"/>
      <c r="J77" s="51"/>
      <c r="K77" s="51"/>
      <c r="L77" s="51"/>
      <c r="M77" s="51"/>
      <c r="N77" s="47"/>
      <c r="O77" s="533"/>
      <c r="P77" s="533"/>
      <c r="Q77" s="533"/>
      <c r="R77" s="6"/>
      <c r="S77" s="59"/>
      <c r="T77" s="22"/>
    </row>
    <row r="78" spans="2:20" x14ac:dyDescent="0.25">
      <c r="B78" s="21"/>
      <c r="C78" s="60" t="s">
        <v>104</v>
      </c>
      <c r="D78" s="52"/>
      <c r="E78" s="52"/>
      <c r="F78" s="52"/>
      <c r="G78" s="52"/>
      <c r="H78" s="52"/>
      <c r="I78" s="52"/>
      <c r="J78" s="52"/>
      <c r="K78" s="52"/>
      <c r="L78" s="52"/>
      <c r="M78" s="52"/>
      <c r="N78" s="48"/>
      <c r="O78" s="533">
        <v>10</v>
      </c>
      <c r="P78" s="533"/>
      <c r="Q78" s="533"/>
      <c r="R78" s="6"/>
      <c r="S78" s="59"/>
      <c r="T78" s="22"/>
    </row>
    <row r="79" spans="2:20" x14ac:dyDescent="0.25">
      <c r="B79" s="21"/>
      <c r="C79" s="60" t="s">
        <v>105</v>
      </c>
      <c r="D79" s="52"/>
      <c r="E79" s="52"/>
      <c r="F79" s="52"/>
      <c r="G79" s="52"/>
      <c r="H79" s="52"/>
      <c r="I79" s="52"/>
      <c r="J79" s="52"/>
      <c r="K79" s="52"/>
      <c r="L79" s="52"/>
      <c r="M79" s="52"/>
      <c r="N79" s="48"/>
      <c r="O79" s="533"/>
      <c r="P79" s="533"/>
      <c r="Q79" s="533"/>
      <c r="R79" s="6"/>
      <c r="S79" s="59"/>
      <c r="T79" s="22"/>
    </row>
    <row r="80" spans="2:20" x14ac:dyDescent="0.25">
      <c r="B80" s="21"/>
      <c r="C80" s="60" t="s">
        <v>106</v>
      </c>
      <c r="D80" s="52"/>
      <c r="E80" s="52"/>
      <c r="F80" s="52"/>
      <c r="G80" s="52"/>
      <c r="H80" s="52"/>
      <c r="I80" s="52"/>
      <c r="J80" s="52"/>
      <c r="K80" s="52"/>
      <c r="L80" s="52"/>
      <c r="M80" s="52"/>
      <c r="N80" s="48"/>
      <c r="O80" s="533"/>
      <c r="P80" s="533"/>
      <c r="Q80" s="533"/>
      <c r="R80" s="6"/>
      <c r="S80" s="59"/>
      <c r="T80" s="22"/>
    </row>
    <row r="81" spans="2:20" x14ac:dyDescent="0.25">
      <c r="B81" s="21"/>
      <c r="C81" s="60" t="s">
        <v>107</v>
      </c>
      <c r="D81" s="52"/>
      <c r="E81" s="52"/>
      <c r="F81" s="52"/>
      <c r="G81" s="52"/>
      <c r="H81" s="52"/>
      <c r="I81" s="52"/>
      <c r="J81" s="52"/>
      <c r="K81" s="52"/>
      <c r="L81" s="52"/>
      <c r="M81" s="52"/>
      <c r="N81" s="48"/>
      <c r="O81" s="533"/>
      <c r="P81" s="533"/>
      <c r="Q81" s="533"/>
      <c r="R81" s="6"/>
      <c r="S81" s="59"/>
      <c r="T81" s="22"/>
    </row>
    <row r="82" spans="2:20" x14ac:dyDescent="0.25">
      <c r="B82" s="21"/>
      <c r="C82" s="60" t="s">
        <v>570</v>
      </c>
      <c r="D82" s="52"/>
      <c r="E82" s="52"/>
      <c r="F82" s="52"/>
      <c r="G82" s="52"/>
      <c r="H82" s="52"/>
      <c r="I82" s="52"/>
      <c r="J82" s="52"/>
      <c r="K82" s="52"/>
      <c r="L82" s="52"/>
      <c r="M82" s="52"/>
      <c r="N82" s="48"/>
      <c r="O82" s="534"/>
      <c r="P82" s="535"/>
      <c r="Q82" s="535"/>
      <c r="R82" s="6"/>
      <c r="S82" s="59"/>
      <c r="T82" s="22"/>
    </row>
    <row r="83" spans="2:20" x14ac:dyDescent="0.25">
      <c r="B83" s="21"/>
      <c r="C83" s="60" t="s">
        <v>108</v>
      </c>
      <c r="D83" s="52"/>
      <c r="E83" s="52"/>
      <c r="F83" s="52"/>
      <c r="G83" s="52"/>
      <c r="H83" s="52"/>
      <c r="I83" s="52"/>
      <c r="J83" s="52"/>
      <c r="K83" s="52"/>
      <c r="L83" s="52"/>
      <c r="M83" s="52"/>
      <c r="N83" s="48"/>
      <c r="O83" s="533"/>
      <c r="P83" s="533"/>
      <c r="Q83" s="533"/>
      <c r="R83" s="6"/>
      <c r="S83" s="59"/>
      <c r="T83" s="22"/>
    </row>
    <row r="84" spans="2:20" x14ac:dyDescent="0.25">
      <c r="B84" s="21"/>
      <c r="C84" s="61"/>
      <c r="D84" s="44"/>
      <c r="E84" s="44"/>
      <c r="F84" s="44"/>
      <c r="G84" s="44"/>
      <c r="H84" s="44"/>
      <c r="I84" s="44"/>
      <c r="J84" s="44"/>
      <c r="K84" s="44"/>
      <c r="L84" s="44"/>
      <c r="M84" s="44"/>
      <c r="N84" s="44"/>
      <c r="O84" s="44"/>
      <c r="P84" s="44"/>
      <c r="Q84" s="44"/>
      <c r="R84" s="44"/>
      <c r="S84" s="62"/>
      <c r="T84" s="22"/>
    </row>
    <row r="85" spans="2:20" x14ac:dyDescent="0.25">
      <c r="B85" s="21"/>
      <c r="C85" s="6"/>
      <c r="D85" s="6"/>
      <c r="E85" s="6"/>
      <c r="F85" s="6"/>
      <c r="G85" s="6"/>
      <c r="H85" s="6"/>
      <c r="I85" s="6"/>
      <c r="J85" s="6"/>
      <c r="K85" s="6"/>
      <c r="L85" s="6"/>
      <c r="M85" s="6"/>
      <c r="N85" s="6"/>
      <c r="O85" s="6"/>
      <c r="P85" s="6"/>
      <c r="Q85" s="6"/>
      <c r="R85" s="6"/>
      <c r="S85" s="6"/>
      <c r="T85" s="22"/>
    </row>
    <row r="86" spans="2:20" ht="15.75" x14ac:dyDescent="0.25">
      <c r="B86" s="21"/>
      <c r="C86" s="744" t="s">
        <v>109</v>
      </c>
      <c r="D86" s="745"/>
      <c r="E86" s="745"/>
      <c r="F86" s="745"/>
      <c r="G86" s="745"/>
      <c r="H86" s="745"/>
      <c r="I86" s="745"/>
      <c r="J86" s="745"/>
      <c r="K86" s="745"/>
      <c r="L86" s="745"/>
      <c r="M86" s="745"/>
      <c r="N86" s="56"/>
      <c r="O86" s="56"/>
      <c r="P86" s="56"/>
      <c r="Q86" s="56"/>
      <c r="R86" s="56"/>
      <c r="S86" s="57"/>
      <c r="T86" s="22"/>
    </row>
    <row r="87" spans="2:20" x14ac:dyDescent="0.25">
      <c r="B87" s="21"/>
      <c r="C87" s="58" t="s">
        <v>110</v>
      </c>
      <c r="D87" s="51"/>
      <c r="E87" s="51"/>
      <c r="F87" s="51"/>
      <c r="G87" s="51"/>
      <c r="H87" s="51"/>
      <c r="I87" s="51"/>
      <c r="J87" s="51"/>
      <c r="K87" s="51"/>
      <c r="L87" s="51"/>
      <c r="M87" s="51"/>
      <c r="N87" s="47"/>
      <c r="O87" s="533"/>
      <c r="P87" s="533"/>
      <c r="Q87" s="533"/>
      <c r="R87" s="6"/>
      <c r="S87" s="59"/>
      <c r="T87" s="22"/>
    </row>
    <row r="88" spans="2:20" x14ac:dyDescent="0.25">
      <c r="B88" s="21"/>
      <c r="C88" s="60" t="s">
        <v>111</v>
      </c>
      <c r="D88" s="52"/>
      <c r="E88" s="52"/>
      <c r="F88" s="52"/>
      <c r="G88" s="52"/>
      <c r="H88" s="52"/>
      <c r="I88" s="52"/>
      <c r="J88" s="52"/>
      <c r="K88" s="52"/>
      <c r="L88" s="52"/>
      <c r="M88" s="52"/>
      <c r="N88" s="48"/>
      <c r="O88" s="533"/>
      <c r="P88" s="533"/>
      <c r="Q88" s="533"/>
      <c r="R88" s="6"/>
      <c r="S88" s="59"/>
      <c r="T88" s="22"/>
    </row>
    <row r="89" spans="2:20" x14ac:dyDescent="0.25">
      <c r="B89" s="21"/>
      <c r="C89" s="60" t="s">
        <v>112</v>
      </c>
      <c r="D89" s="52"/>
      <c r="E89" s="52"/>
      <c r="F89" s="52"/>
      <c r="G89" s="52"/>
      <c r="H89" s="52"/>
      <c r="I89" s="52"/>
      <c r="J89" s="52"/>
      <c r="K89" s="52"/>
      <c r="L89" s="52"/>
      <c r="M89" s="52"/>
      <c r="N89" s="48"/>
      <c r="O89" s="533"/>
      <c r="P89" s="533"/>
      <c r="Q89" s="533"/>
      <c r="R89" s="6"/>
      <c r="S89" s="59"/>
      <c r="T89" s="22"/>
    </row>
    <row r="90" spans="2:20" x14ac:dyDescent="0.25">
      <c r="B90" s="21"/>
      <c r="C90" s="60" t="s">
        <v>113</v>
      </c>
      <c r="D90" s="52"/>
      <c r="E90" s="52"/>
      <c r="F90" s="52"/>
      <c r="G90" s="52"/>
      <c r="H90" s="52"/>
      <c r="I90" s="52"/>
      <c r="J90" s="52"/>
      <c r="K90" s="52"/>
      <c r="L90" s="52"/>
      <c r="M90" s="52"/>
      <c r="N90" s="52"/>
      <c r="O90" s="533"/>
      <c r="P90" s="533"/>
      <c r="Q90" s="533"/>
      <c r="R90" s="6"/>
      <c r="S90" s="59"/>
      <c r="T90" s="22"/>
    </row>
    <row r="91" spans="2:20" x14ac:dyDescent="0.25">
      <c r="B91" s="21"/>
      <c r="C91" s="61"/>
      <c r="D91" s="44"/>
      <c r="E91" s="44"/>
      <c r="F91" s="44"/>
      <c r="G91" s="44"/>
      <c r="H91" s="44"/>
      <c r="I91" s="44"/>
      <c r="J91" s="44"/>
      <c r="K91" s="44"/>
      <c r="L91" s="44"/>
      <c r="M91" s="44"/>
      <c r="N91" s="44"/>
      <c r="O91" s="44"/>
      <c r="P91" s="44"/>
      <c r="Q91" s="44"/>
      <c r="R91" s="44"/>
      <c r="S91" s="62"/>
      <c r="T91" s="22"/>
    </row>
    <row r="92" spans="2:20" x14ac:dyDescent="0.25">
      <c r="B92" s="21"/>
      <c r="C92" s="6"/>
      <c r="D92" s="6"/>
      <c r="E92" s="6"/>
      <c r="F92" s="6"/>
      <c r="G92" s="6"/>
      <c r="H92" s="6"/>
      <c r="I92" s="6"/>
      <c r="J92" s="6"/>
      <c r="K92" s="6"/>
      <c r="L92" s="6"/>
      <c r="M92" s="6"/>
      <c r="N92" s="6"/>
      <c r="O92" s="6"/>
      <c r="P92" s="6"/>
      <c r="Q92" s="6"/>
      <c r="R92" s="6"/>
      <c r="S92" s="6"/>
      <c r="T92" s="22"/>
    </row>
    <row r="93" spans="2:20" ht="15.75" x14ac:dyDescent="0.25">
      <c r="B93" s="21"/>
      <c r="C93" s="744" t="s">
        <v>114</v>
      </c>
      <c r="D93" s="745"/>
      <c r="E93" s="745"/>
      <c r="F93" s="745"/>
      <c r="G93" s="745"/>
      <c r="H93" s="745"/>
      <c r="I93" s="745"/>
      <c r="J93" s="745"/>
      <c r="K93" s="745"/>
      <c r="L93" s="745"/>
      <c r="M93" s="745"/>
      <c r="N93" s="56"/>
      <c r="O93" s="56"/>
      <c r="P93" s="56"/>
      <c r="Q93" s="56"/>
      <c r="R93" s="56"/>
      <c r="S93" s="57"/>
      <c r="T93" s="22"/>
    </row>
    <row r="94" spans="2:20" x14ac:dyDescent="0.25">
      <c r="B94" s="21"/>
      <c r="C94" s="58" t="s">
        <v>115</v>
      </c>
      <c r="D94" s="51"/>
      <c r="E94" s="51"/>
      <c r="F94" s="51"/>
      <c r="G94" s="51"/>
      <c r="H94" s="51"/>
      <c r="I94" s="51"/>
      <c r="J94" s="51"/>
      <c r="K94" s="51"/>
      <c r="L94" s="51"/>
      <c r="M94" s="51"/>
      <c r="N94" s="47"/>
      <c r="O94" s="533"/>
      <c r="P94" s="533"/>
      <c r="Q94" s="533"/>
      <c r="R94" s="6"/>
      <c r="S94" s="59"/>
      <c r="T94" s="22"/>
    </row>
    <row r="95" spans="2:20" x14ac:dyDescent="0.25">
      <c r="B95" s="21"/>
      <c r="C95" s="60" t="s">
        <v>116</v>
      </c>
      <c r="D95" s="52"/>
      <c r="E95" s="52"/>
      <c r="F95" s="52"/>
      <c r="G95" s="52"/>
      <c r="H95" s="52"/>
      <c r="I95" s="52"/>
      <c r="J95" s="52"/>
      <c r="K95" s="52"/>
      <c r="L95" s="52"/>
      <c r="M95" s="52"/>
      <c r="N95" s="48"/>
      <c r="O95" s="533"/>
      <c r="P95" s="533"/>
      <c r="Q95" s="533"/>
      <c r="R95" s="6"/>
      <c r="S95" s="59"/>
      <c r="T95" s="22"/>
    </row>
    <row r="96" spans="2:20" x14ac:dyDescent="0.25">
      <c r="B96" s="21"/>
      <c r="C96" s="60" t="s">
        <v>117</v>
      </c>
      <c r="D96" s="52"/>
      <c r="E96" s="52"/>
      <c r="F96" s="52"/>
      <c r="G96" s="52"/>
      <c r="H96" s="52"/>
      <c r="I96" s="52"/>
      <c r="J96" s="52"/>
      <c r="K96" s="52"/>
      <c r="L96" s="52"/>
      <c r="M96" s="52"/>
      <c r="N96" s="48"/>
      <c r="O96" s="533"/>
      <c r="P96" s="533"/>
      <c r="Q96" s="533"/>
      <c r="R96" s="6"/>
      <c r="S96" s="59"/>
      <c r="T96" s="22"/>
    </row>
    <row r="97" spans="2:20" x14ac:dyDescent="0.25">
      <c r="B97" s="21"/>
      <c r="C97" s="60" t="s">
        <v>118</v>
      </c>
      <c r="D97" s="52"/>
      <c r="E97" s="52"/>
      <c r="F97" s="52"/>
      <c r="G97" s="52"/>
      <c r="H97" s="52"/>
      <c r="I97" s="52"/>
      <c r="J97" s="52"/>
      <c r="K97" s="52"/>
      <c r="L97" s="52"/>
      <c r="M97" s="52"/>
      <c r="N97" s="48"/>
      <c r="O97" s="533"/>
      <c r="P97" s="533"/>
      <c r="Q97" s="533"/>
      <c r="R97" s="6"/>
      <c r="S97" s="59"/>
      <c r="T97" s="22"/>
    </row>
    <row r="98" spans="2:20" x14ac:dyDescent="0.25">
      <c r="B98" s="21"/>
      <c r="C98" s="61"/>
      <c r="D98" s="44"/>
      <c r="E98" s="44"/>
      <c r="F98" s="44"/>
      <c r="G98" s="44"/>
      <c r="H98" s="44"/>
      <c r="I98" s="44"/>
      <c r="J98" s="44"/>
      <c r="K98" s="44"/>
      <c r="L98" s="44"/>
      <c r="M98" s="44"/>
      <c r="N98" s="44"/>
      <c r="O98" s="44"/>
      <c r="P98" s="44"/>
      <c r="Q98" s="44"/>
      <c r="R98" s="44"/>
      <c r="S98" s="62"/>
      <c r="T98" s="22"/>
    </row>
    <row r="99" spans="2:20" x14ac:dyDescent="0.25">
      <c r="B99" s="21"/>
      <c r="C99" s="6"/>
      <c r="D99" s="6"/>
      <c r="E99" s="6"/>
      <c r="F99" s="6"/>
      <c r="G99" s="6"/>
      <c r="H99" s="6"/>
      <c r="I99" s="6"/>
      <c r="J99" s="6"/>
      <c r="K99" s="6"/>
      <c r="L99" s="6"/>
      <c r="M99" s="6"/>
      <c r="N99" s="6"/>
      <c r="O99" s="6"/>
      <c r="P99" s="6"/>
      <c r="Q99" s="6"/>
      <c r="R99" s="6"/>
      <c r="S99" s="6"/>
      <c r="T99" s="22"/>
    </row>
    <row r="100" spans="2:20" ht="15.75" x14ac:dyDescent="0.25">
      <c r="B100" s="21"/>
      <c r="C100" s="744" t="s">
        <v>2530</v>
      </c>
      <c r="D100" s="745"/>
      <c r="E100" s="745"/>
      <c r="F100" s="745"/>
      <c r="G100" s="745"/>
      <c r="H100" s="745"/>
      <c r="I100" s="745"/>
      <c r="J100" s="745"/>
      <c r="K100" s="745"/>
      <c r="L100" s="745"/>
      <c r="M100" s="745"/>
      <c r="N100" s="56"/>
      <c r="O100" s="56"/>
      <c r="P100" s="56"/>
      <c r="Q100" s="56"/>
      <c r="R100" s="56"/>
      <c r="S100" s="57"/>
      <c r="T100" s="22"/>
    </row>
    <row r="101" spans="2:20" x14ac:dyDescent="0.25">
      <c r="B101" s="21"/>
      <c r="C101" s="58" t="s">
        <v>119</v>
      </c>
      <c r="D101" s="51"/>
      <c r="E101" s="51"/>
      <c r="F101" s="51"/>
      <c r="G101" s="51"/>
      <c r="H101" s="51"/>
      <c r="I101" s="51"/>
      <c r="J101" s="51"/>
      <c r="K101" s="51"/>
      <c r="L101" s="51"/>
      <c r="M101" s="51"/>
      <c r="N101" s="51"/>
      <c r="O101" s="533"/>
      <c r="P101" s="533"/>
      <c r="Q101" s="533"/>
      <c r="R101" s="6"/>
      <c r="S101" s="59"/>
      <c r="T101" s="22"/>
    </row>
    <row r="102" spans="2:20" x14ac:dyDescent="0.25">
      <c r="B102" s="21"/>
      <c r="C102" s="462" t="s">
        <v>2531</v>
      </c>
      <c r="D102" s="463"/>
      <c r="E102" s="165"/>
      <c r="F102" s="165"/>
      <c r="G102" s="165"/>
      <c r="H102" s="165"/>
      <c r="I102" s="165"/>
      <c r="J102" s="165"/>
      <c r="K102" s="165"/>
      <c r="L102" s="165"/>
      <c r="M102" s="165"/>
      <c r="N102" s="165"/>
      <c r="O102" s="461"/>
      <c r="P102" s="461"/>
      <c r="Q102" s="461"/>
      <c r="R102" s="6"/>
      <c r="S102" s="59"/>
      <c r="T102" s="22"/>
    </row>
    <row r="103" spans="2:20" x14ac:dyDescent="0.25">
      <c r="B103" s="21"/>
      <c r="C103" s="67"/>
      <c r="D103" s="6" t="s">
        <v>2338</v>
      </c>
      <c r="E103" s="6"/>
      <c r="F103" s="6"/>
      <c r="G103" s="6"/>
      <c r="H103" s="6"/>
      <c r="I103" s="6"/>
      <c r="J103" s="6"/>
      <c r="K103" s="6"/>
      <c r="L103" s="6"/>
      <c r="M103" s="6"/>
      <c r="N103" s="6"/>
      <c r="O103" s="535"/>
      <c r="P103" s="535"/>
      <c r="Q103" s="535"/>
      <c r="R103" s="6"/>
      <c r="S103" s="59"/>
      <c r="T103" s="22"/>
    </row>
    <row r="104" spans="2:20" x14ac:dyDescent="0.25">
      <c r="B104" s="21"/>
      <c r="C104" s="67"/>
      <c r="D104" s="165" t="s">
        <v>2339</v>
      </c>
      <c r="E104" s="165"/>
      <c r="F104" s="165"/>
      <c r="G104" s="165"/>
      <c r="H104" s="165"/>
      <c r="I104" s="165"/>
      <c r="J104" s="165"/>
      <c r="K104" s="165"/>
      <c r="L104" s="165"/>
      <c r="M104" s="165"/>
      <c r="N104" s="165"/>
      <c r="O104" s="535"/>
      <c r="P104" s="535"/>
      <c r="Q104" s="535"/>
      <c r="R104" s="6"/>
      <c r="S104" s="59"/>
      <c r="T104" s="22"/>
    </row>
    <row r="105" spans="2:20" x14ac:dyDescent="0.25">
      <c r="B105" s="21"/>
      <c r="C105" s="67"/>
      <c r="D105" s="165" t="s">
        <v>2426</v>
      </c>
      <c r="E105" s="165"/>
      <c r="F105" s="165"/>
      <c r="G105" s="165"/>
      <c r="H105" s="165"/>
      <c r="I105" s="165"/>
      <c r="J105" s="165"/>
      <c r="K105" s="165"/>
      <c r="L105" s="165"/>
      <c r="M105" s="165"/>
      <c r="N105" s="165"/>
      <c r="O105" s="535"/>
      <c r="P105" s="535"/>
      <c r="Q105" s="535"/>
      <c r="R105" s="6"/>
      <c r="S105" s="59"/>
      <c r="T105" s="22"/>
    </row>
    <row r="106" spans="2:20" x14ac:dyDescent="0.25">
      <c r="B106" s="21"/>
      <c r="C106" s="61"/>
      <c r="D106" s="66"/>
      <c r="E106" s="66"/>
      <c r="F106" s="66"/>
      <c r="G106" s="66"/>
      <c r="H106" s="66"/>
      <c r="I106" s="66"/>
      <c r="J106" s="66"/>
      <c r="K106" s="66"/>
      <c r="L106" s="66"/>
      <c r="M106" s="66"/>
      <c r="N106" s="66"/>
      <c r="O106" s="44"/>
      <c r="P106" s="44"/>
      <c r="Q106" s="44"/>
      <c r="R106" s="44"/>
      <c r="S106" s="62"/>
      <c r="T106" s="22"/>
    </row>
    <row r="107" spans="2:20" x14ac:dyDescent="0.25">
      <c r="B107" s="21"/>
      <c r="C107" s="6"/>
      <c r="D107" s="6"/>
      <c r="E107" s="6"/>
      <c r="F107" s="6"/>
      <c r="G107" s="6"/>
      <c r="H107" s="6"/>
      <c r="I107" s="6"/>
      <c r="J107" s="6"/>
      <c r="K107" s="6"/>
      <c r="L107" s="6"/>
      <c r="M107" s="6"/>
      <c r="N107" s="6"/>
      <c r="O107" s="6"/>
      <c r="P107" s="6"/>
      <c r="Q107" s="6"/>
      <c r="R107" s="6"/>
      <c r="S107" s="6"/>
      <c r="T107" s="22"/>
    </row>
    <row r="108" spans="2:20" ht="33" customHeight="1" x14ac:dyDescent="0.25">
      <c r="B108" s="21"/>
      <c r="C108" s="747" t="s">
        <v>571</v>
      </c>
      <c r="D108" s="748"/>
      <c r="E108" s="748"/>
      <c r="F108" s="748"/>
      <c r="G108" s="748"/>
      <c r="H108" s="748"/>
      <c r="I108" s="748"/>
      <c r="J108" s="748"/>
      <c r="K108" s="748"/>
      <c r="L108" s="748"/>
      <c r="M108" s="748"/>
      <c r="N108" s="56"/>
      <c r="O108" s="56"/>
      <c r="P108" s="56"/>
      <c r="Q108" s="56"/>
      <c r="R108" s="56"/>
      <c r="S108" s="57"/>
      <c r="T108" s="22"/>
    </row>
    <row r="109" spans="2:20" x14ac:dyDescent="0.25">
      <c r="B109" s="21"/>
      <c r="C109" s="58" t="s">
        <v>120</v>
      </c>
      <c r="D109" s="51"/>
      <c r="E109" s="51"/>
      <c r="F109" s="51"/>
      <c r="G109" s="51"/>
      <c r="H109" s="51"/>
      <c r="I109" s="51"/>
      <c r="J109" s="51"/>
      <c r="K109" s="51"/>
      <c r="L109" s="51"/>
      <c r="M109" s="51"/>
      <c r="N109" s="51"/>
      <c r="O109" s="533"/>
      <c r="P109" s="533"/>
      <c r="Q109" s="533"/>
      <c r="R109" s="6"/>
      <c r="S109" s="59"/>
      <c r="T109" s="22"/>
    </row>
    <row r="110" spans="2:20" x14ac:dyDescent="0.25">
      <c r="B110" s="21"/>
      <c r="C110" s="60" t="s">
        <v>121</v>
      </c>
      <c r="D110" s="52"/>
      <c r="E110" s="52"/>
      <c r="F110" s="52"/>
      <c r="G110" s="52"/>
      <c r="H110" s="52"/>
      <c r="I110" s="52"/>
      <c r="J110" s="52"/>
      <c r="K110" s="52"/>
      <c r="L110" s="52"/>
      <c r="M110" s="52"/>
      <c r="N110" s="52"/>
      <c r="O110" s="533"/>
      <c r="P110" s="533"/>
      <c r="Q110" s="533"/>
      <c r="R110" s="6"/>
      <c r="S110" s="59"/>
      <c r="T110" s="22"/>
    </row>
    <row r="111" spans="2:20" x14ac:dyDescent="0.25">
      <c r="B111" s="21"/>
      <c r="C111" s="60" t="s">
        <v>122</v>
      </c>
      <c r="D111" s="52"/>
      <c r="E111" s="52"/>
      <c r="F111" s="52"/>
      <c r="G111" s="52"/>
      <c r="H111" s="52"/>
      <c r="I111" s="52"/>
      <c r="J111" s="52"/>
      <c r="K111" s="52"/>
      <c r="L111" s="52"/>
      <c r="M111" s="52"/>
      <c r="N111" s="52"/>
      <c r="O111" s="533"/>
      <c r="P111" s="533"/>
      <c r="Q111" s="533"/>
      <c r="R111" s="6"/>
      <c r="S111" s="59"/>
      <c r="T111" s="22"/>
    </row>
    <row r="112" spans="2:20" x14ac:dyDescent="0.25">
      <c r="B112" s="21"/>
      <c r="C112" s="61"/>
      <c r="D112" s="44"/>
      <c r="E112" s="44"/>
      <c r="F112" s="44"/>
      <c r="G112" s="44"/>
      <c r="H112" s="44"/>
      <c r="I112" s="44"/>
      <c r="J112" s="44"/>
      <c r="K112" s="44"/>
      <c r="L112" s="44"/>
      <c r="M112" s="44"/>
      <c r="N112" s="44"/>
      <c r="O112" s="44"/>
      <c r="P112" s="44"/>
      <c r="Q112" s="44"/>
      <c r="R112" s="44"/>
      <c r="S112" s="62"/>
      <c r="T112" s="22"/>
    </row>
    <row r="113" spans="2:20" x14ac:dyDescent="0.25">
      <c r="B113" s="21"/>
      <c r="C113" s="6"/>
      <c r="D113" s="6"/>
      <c r="E113" s="6"/>
      <c r="F113" s="6"/>
      <c r="G113" s="6"/>
      <c r="H113" s="6"/>
      <c r="I113" s="6"/>
      <c r="J113" s="6"/>
      <c r="K113" s="6"/>
      <c r="L113" s="6"/>
      <c r="M113" s="6"/>
      <c r="N113" s="6"/>
      <c r="O113" s="6"/>
      <c r="P113" s="6"/>
      <c r="Q113" s="6"/>
      <c r="R113" s="6"/>
      <c r="S113" s="6"/>
      <c r="T113" s="22"/>
    </row>
    <row r="114" spans="2:20" ht="15.75" x14ac:dyDescent="0.25">
      <c r="B114" s="21"/>
      <c r="C114" s="744" t="s">
        <v>123</v>
      </c>
      <c r="D114" s="745"/>
      <c r="E114" s="745"/>
      <c r="F114" s="745"/>
      <c r="G114" s="745"/>
      <c r="H114" s="745"/>
      <c r="I114" s="745"/>
      <c r="J114" s="745"/>
      <c r="K114" s="745"/>
      <c r="L114" s="745"/>
      <c r="M114" s="745"/>
      <c r="N114" s="56"/>
      <c r="O114" s="56"/>
      <c r="P114" s="56"/>
      <c r="Q114" s="56"/>
      <c r="R114" s="56"/>
      <c r="S114" s="57"/>
      <c r="T114" s="22"/>
    </row>
    <row r="115" spans="2:20" x14ac:dyDescent="0.25">
      <c r="B115" s="21"/>
      <c r="C115" s="58" t="s">
        <v>572</v>
      </c>
      <c r="D115" s="51"/>
      <c r="E115" s="51"/>
      <c r="F115" s="51"/>
      <c r="G115" s="51"/>
      <c r="H115" s="51"/>
      <c r="I115" s="51"/>
      <c r="J115" s="51"/>
      <c r="K115" s="51"/>
      <c r="L115" s="51"/>
      <c r="M115" s="51"/>
      <c r="N115" s="51"/>
      <c r="O115" s="533"/>
      <c r="P115" s="533"/>
      <c r="Q115" s="533"/>
      <c r="R115" s="6"/>
      <c r="S115" s="59"/>
      <c r="T115" s="22"/>
    </row>
    <row r="116" spans="2:20" x14ac:dyDescent="0.25">
      <c r="B116" s="21"/>
      <c r="C116" s="60" t="s">
        <v>573</v>
      </c>
      <c r="D116" s="52"/>
      <c r="E116" s="52"/>
      <c r="F116" s="52"/>
      <c r="G116" s="52"/>
      <c r="H116" s="52"/>
      <c r="I116" s="52"/>
      <c r="J116" s="52"/>
      <c r="K116" s="52"/>
      <c r="L116" s="52"/>
      <c r="M116" s="52"/>
      <c r="N116" s="52"/>
      <c r="O116" s="533"/>
      <c r="P116" s="533"/>
      <c r="Q116" s="533"/>
      <c r="R116" s="6"/>
      <c r="S116" s="59"/>
      <c r="T116" s="22"/>
    </row>
    <row r="117" spans="2:20" x14ac:dyDescent="0.25">
      <c r="B117" s="21"/>
      <c r="C117" s="60" t="s">
        <v>574</v>
      </c>
      <c r="D117" s="52"/>
      <c r="E117" s="52"/>
      <c r="F117" s="52"/>
      <c r="G117" s="52"/>
      <c r="H117" s="52"/>
      <c r="I117" s="52"/>
      <c r="J117" s="52"/>
      <c r="K117" s="52"/>
      <c r="L117" s="52"/>
      <c r="M117" s="52"/>
      <c r="N117" s="52"/>
      <c r="O117" s="533"/>
      <c r="P117" s="533"/>
      <c r="Q117" s="533"/>
      <c r="R117" s="6"/>
      <c r="S117" s="59"/>
      <c r="T117" s="22"/>
    </row>
    <row r="118" spans="2:20" x14ac:dyDescent="0.25">
      <c r="B118" s="21"/>
      <c r="C118" s="60" t="s">
        <v>575</v>
      </c>
      <c r="D118" s="52"/>
      <c r="E118" s="52"/>
      <c r="F118" s="52"/>
      <c r="G118" s="52"/>
      <c r="H118" s="52"/>
      <c r="I118" s="52"/>
      <c r="J118" s="52"/>
      <c r="K118" s="52"/>
      <c r="L118" s="52"/>
      <c r="M118" s="52"/>
      <c r="N118" s="52"/>
      <c r="O118" s="533"/>
      <c r="P118" s="533"/>
      <c r="Q118" s="533"/>
      <c r="R118" s="6"/>
      <c r="S118" s="59"/>
      <c r="T118" s="22"/>
    </row>
    <row r="119" spans="2:20" x14ac:dyDescent="0.25">
      <c r="B119" s="21"/>
      <c r="C119" s="60" t="s">
        <v>576</v>
      </c>
      <c r="D119" s="52"/>
      <c r="E119" s="52"/>
      <c r="F119" s="52"/>
      <c r="G119" s="52"/>
      <c r="H119" s="52"/>
      <c r="I119" s="52"/>
      <c r="J119" s="52"/>
      <c r="K119" s="52"/>
      <c r="L119" s="52"/>
      <c r="M119" s="52"/>
      <c r="N119" s="52"/>
      <c r="O119" s="533"/>
      <c r="P119" s="533"/>
      <c r="Q119" s="533"/>
      <c r="R119" s="6"/>
      <c r="S119" s="59"/>
      <c r="T119" s="22"/>
    </row>
    <row r="120" spans="2:20" x14ac:dyDescent="0.25">
      <c r="B120" s="21"/>
      <c r="C120" s="60" t="s">
        <v>577</v>
      </c>
      <c r="D120" s="52"/>
      <c r="E120" s="52"/>
      <c r="F120" s="52"/>
      <c r="G120" s="52"/>
      <c r="H120" s="52"/>
      <c r="I120" s="52"/>
      <c r="J120" s="52"/>
      <c r="K120" s="52"/>
      <c r="L120" s="52"/>
      <c r="M120" s="52"/>
      <c r="N120" s="52"/>
      <c r="O120" s="533"/>
      <c r="P120" s="533"/>
      <c r="Q120" s="533"/>
      <c r="R120" s="6"/>
      <c r="S120" s="59"/>
      <c r="T120" s="22"/>
    </row>
    <row r="121" spans="2:20" x14ac:dyDescent="0.25">
      <c r="B121" s="21"/>
      <c r="C121" s="60" t="s">
        <v>578</v>
      </c>
      <c r="D121" s="52"/>
      <c r="E121" s="52"/>
      <c r="F121" s="52"/>
      <c r="G121" s="52"/>
      <c r="H121" s="52"/>
      <c r="I121" s="52"/>
      <c r="J121" s="52"/>
      <c r="K121" s="52"/>
      <c r="L121" s="52"/>
      <c r="M121" s="52"/>
      <c r="N121" s="52"/>
      <c r="O121" s="533"/>
      <c r="P121" s="533"/>
      <c r="Q121" s="533"/>
      <c r="R121" s="6"/>
      <c r="S121" s="59"/>
      <c r="T121" s="22"/>
    </row>
    <row r="122" spans="2:20" x14ac:dyDescent="0.25">
      <c r="B122" s="21"/>
      <c r="C122" s="60" t="s">
        <v>2340</v>
      </c>
      <c r="D122" s="52"/>
      <c r="E122" s="52"/>
      <c r="F122" s="52"/>
      <c r="G122" s="52"/>
      <c r="H122" s="52"/>
      <c r="I122" s="52"/>
      <c r="J122" s="52"/>
      <c r="K122" s="52"/>
      <c r="L122" s="52"/>
      <c r="M122" s="52"/>
      <c r="N122" s="52"/>
      <c r="O122" s="533"/>
      <c r="P122" s="533"/>
      <c r="Q122" s="533"/>
      <c r="R122" s="6"/>
      <c r="S122" s="59"/>
      <c r="T122" s="22"/>
    </row>
    <row r="123" spans="2:20" ht="15" customHeight="1" x14ac:dyDescent="0.25">
      <c r="B123" s="21"/>
      <c r="C123" s="752" t="s">
        <v>132</v>
      </c>
      <c r="D123" s="753"/>
      <c r="E123" s="753"/>
      <c r="F123" s="753"/>
      <c r="G123" s="753"/>
      <c r="H123" s="753"/>
      <c r="I123" s="753"/>
      <c r="J123" s="753"/>
      <c r="K123" s="753"/>
      <c r="L123" s="753"/>
      <c r="M123" s="753"/>
      <c r="N123" s="753"/>
      <c r="O123" s="753"/>
      <c r="P123" s="753"/>
      <c r="Q123" s="753"/>
      <c r="R123" s="753"/>
      <c r="S123" s="59"/>
      <c r="T123" s="22"/>
    </row>
    <row r="124" spans="2:20" ht="42" customHeight="1" x14ac:dyDescent="0.25">
      <c r="B124" s="21"/>
      <c r="C124" s="754"/>
      <c r="D124" s="755"/>
      <c r="E124" s="755"/>
      <c r="F124" s="755"/>
      <c r="G124" s="755"/>
      <c r="H124" s="755"/>
      <c r="I124" s="755"/>
      <c r="J124" s="755"/>
      <c r="K124" s="755"/>
      <c r="L124" s="755"/>
      <c r="M124" s="755"/>
      <c r="N124" s="755"/>
      <c r="O124" s="755"/>
      <c r="P124" s="755"/>
      <c r="Q124" s="755"/>
      <c r="R124" s="755"/>
      <c r="S124" s="62"/>
      <c r="T124" s="22"/>
    </row>
    <row r="125" spans="2:20" x14ac:dyDescent="0.25">
      <c r="B125" s="21"/>
      <c r="C125" s="6"/>
      <c r="D125" s="6"/>
      <c r="E125" s="6"/>
      <c r="F125" s="6"/>
      <c r="G125" s="6"/>
      <c r="H125" s="6"/>
      <c r="I125" s="6"/>
      <c r="J125" s="6"/>
      <c r="K125" s="6"/>
      <c r="L125" s="6"/>
      <c r="M125" s="6"/>
      <c r="N125" s="6"/>
      <c r="O125" s="6"/>
      <c r="P125" s="6"/>
      <c r="Q125" s="6"/>
      <c r="R125" s="6"/>
      <c r="S125" s="6"/>
      <c r="T125" s="22"/>
    </row>
    <row r="126" spans="2:20" ht="15.75" x14ac:dyDescent="0.25">
      <c r="B126" s="21"/>
      <c r="C126" s="744" t="s">
        <v>124</v>
      </c>
      <c r="D126" s="745"/>
      <c r="E126" s="745"/>
      <c r="F126" s="745"/>
      <c r="G126" s="745"/>
      <c r="H126" s="745"/>
      <c r="I126" s="745"/>
      <c r="J126" s="745"/>
      <c r="K126" s="745"/>
      <c r="L126" s="745"/>
      <c r="M126" s="745"/>
      <c r="N126" s="56"/>
      <c r="O126" s="56"/>
      <c r="P126" s="56"/>
      <c r="Q126" s="56"/>
      <c r="R126" s="56"/>
      <c r="S126" s="57"/>
      <c r="T126" s="22"/>
    </row>
    <row r="127" spans="2:20" x14ac:dyDescent="0.25">
      <c r="B127" s="21"/>
      <c r="C127" s="58" t="s">
        <v>125</v>
      </c>
      <c r="D127" s="51"/>
      <c r="E127" s="51"/>
      <c r="F127" s="51"/>
      <c r="G127" s="51"/>
      <c r="H127" s="51"/>
      <c r="I127" s="51"/>
      <c r="J127" s="51"/>
      <c r="K127" s="51"/>
      <c r="L127" s="51"/>
      <c r="M127" s="51"/>
      <c r="N127" s="47"/>
      <c r="O127" s="533"/>
      <c r="P127" s="533"/>
      <c r="Q127" s="533"/>
      <c r="R127" s="6"/>
      <c r="S127" s="59"/>
      <c r="T127" s="22"/>
    </row>
    <row r="128" spans="2:20" x14ac:dyDescent="0.25">
      <c r="B128" s="21"/>
      <c r="C128" s="60" t="s">
        <v>126</v>
      </c>
      <c r="D128" s="52"/>
      <c r="E128" s="52"/>
      <c r="F128" s="52"/>
      <c r="G128" s="52"/>
      <c r="H128" s="52"/>
      <c r="I128" s="52"/>
      <c r="J128" s="52"/>
      <c r="K128" s="52"/>
      <c r="L128" s="52"/>
      <c r="M128" s="52"/>
      <c r="N128" s="48"/>
      <c r="O128" s="533"/>
      <c r="P128" s="533"/>
      <c r="Q128" s="533"/>
      <c r="R128" s="6"/>
      <c r="S128" s="59"/>
      <c r="T128" s="22"/>
    </row>
    <row r="129" spans="2:38" x14ac:dyDescent="0.25">
      <c r="B129" s="21"/>
      <c r="C129" s="61"/>
      <c r="D129" s="44"/>
      <c r="E129" s="44"/>
      <c r="F129" s="44"/>
      <c r="G129" s="44"/>
      <c r="H129" s="44"/>
      <c r="I129" s="44"/>
      <c r="J129" s="44"/>
      <c r="K129" s="44"/>
      <c r="L129" s="44"/>
      <c r="M129" s="44"/>
      <c r="N129" s="44"/>
      <c r="O129" s="44"/>
      <c r="P129" s="44"/>
      <c r="Q129" s="44"/>
      <c r="R129" s="44"/>
      <c r="S129" s="62"/>
      <c r="T129" s="22"/>
    </row>
    <row r="130" spans="2:38" x14ac:dyDescent="0.25">
      <c r="B130" s="21"/>
      <c r="C130" s="6"/>
      <c r="D130" s="6"/>
      <c r="E130" s="6"/>
      <c r="F130" s="6"/>
      <c r="G130" s="6"/>
      <c r="H130" s="6"/>
      <c r="I130" s="6"/>
      <c r="J130" s="6"/>
      <c r="K130" s="6"/>
      <c r="L130" s="6"/>
      <c r="M130" s="6"/>
      <c r="N130" s="6"/>
      <c r="O130" s="6"/>
      <c r="P130" s="6"/>
      <c r="Q130" s="6"/>
      <c r="R130" s="6"/>
      <c r="S130" s="6"/>
      <c r="T130" s="22"/>
    </row>
    <row r="131" spans="2:38" ht="34.5" customHeight="1" x14ac:dyDescent="0.25">
      <c r="B131" s="21"/>
      <c r="C131" s="747" t="s">
        <v>719</v>
      </c>
      <c r="D131" s="748"/>
      <c r="E131" s="748"/>
      <c r="F131" s="748"/>
      <c r="G131" s="748"/>
      <c r="H131" s="748"/>
      <c r="I131" s="748"/>
      <c r="J131" s="748"/>
      <c r="K131" s="748"/>
      <c r="L131" s="748"/>
      <c r="M131" s="748"/>
      <c r="N131" s="56"/>
      <c r="O131" s="56"/>
      <c r="P131" s="56"/>
      <c r="Q131" s="56"/>
      <c r="R131" s="56"/>
      <c r="S131" s="57"/>
      <c r="T131" s="22"/>
    </row>
    <row r="132" spans="2:38" x14ac:dyDescent="0.25">
      <c r="B132" s="21"/>
      <c r="C132" s="58" t="s">
        <v>127</v>
      </c>
      <c r="D132" s="51"/>
      <c r="E132" s="51"/>
      <c r="F132" s="51"/>
      <c r="G132" s="51"/>
      <c r="H132" s="51"/>
      <c r="I132" s="51"/>
      <c r="J132" s="51"/>
      <c r="K132" s="51"/>
      <c r="L132" s="51"/>
      <c r="M132" s="51"/>
      <c r="N132" s="47"/>
      <c r="O132" s="533"/>
      <c r="P132" s="533"/>
      <c r="Q132" s="533"/>
      <c r="R132" s="6"/>
      <c r="S132" s="59"/>
      <c r="T132" s="22"/>
    </row>
    <row r="133" spans="2:38" x14ac:dyDescent="0.25">
      <c r="B133" s="21"/>
      <c r="C133" s="60" t="s">
        <v>2877</v>
      </c>
      <c r="D133" s="52"/>
      <c r="E133" s="52"/>
      <c r="F133" s="52"/>
      <c r="G133" s="52"/>
      <c r="H133" s="52"/>
      <c r="I133" s="52"/>
      <c r="J133" s="52"/>
      <c r="K133" s="52"/>
      <c r="L133" s="52"/>
      <c r="M133" s="52"/>
      <c r="N133" s="48"/>
      <c r="O133" s="533"/>
      <c r="P133" s="533"/>
      <c r="Q133" s="533"/>
      <c r="R133" s="6"/>
      <c r="S133" s="59"/>
      <c r="T133" s="22"/>
    </row>
    <row r="134" spans="2:38" x14ac:dyDescent="0.25">
      <c r="B134" s="21"/>
      <c r="C134" s="60" t="s">
        <v>2878</v>
      </c>
      <c r="D134" s="52"/>
      <c r="E134" s="52"/>
      <c r="F134" s="52"/>
      <c r="G134" s="52"/>
      <c r="H134" s="52"/>
      <c r="I134" s="52"/>
      <c r="J134" s="52"/>
      <c r="K134" s="52"/>
      <c r="L134" s="52"/>
      <c r="M134" s="52"/>
      <c r="N134" s="48"/>
      <c r="O134" s="533"/>
      <c r="P134" s="533"/>
      <c r="Q134" s="533"/>
      <c r="R134" s="6"/>
      <c r="S134" s="59"/>
      <c r="T134" s="22"/>
    </row>
    <row r="135" spans="2:38" x14ac:dyDescent="0.25">
      <c r="B135" s="21"/>
      <c r="C135" s="60" t="s">
        <v>2879</v>
      </c>
      <c r="D135" s="52"/>
      <c r="E135" s="52"/>
      <c r="F135" s="52"/>
      <c r="G135" s="52"/>
      <c r="H135" s="52"/>
      <c r="I135" s="52"/>
      <c r="J135" s="52"/>
      <c r="K135" s="52"/>
      <c r="L135" s="52"/>
      <c r="M135" s="52"/>
      <c r="N135" s="48"/>
      <c r="O135" s="533"/>
      <c r="P135" s="533"/>
      <c r="Q135" s="533"/>
      <c r="R135" s="6"/>
      <c r="S135" s="59"/>
      <c r="T135" s="22"/>
    </row>
    <row r="136" spans="2:38" x14ac:dyDescent="0.25">
      <c r="B136" s="21"/>
      <c r="C136" s="60" t="s">
        <v>2880</v>
      </c>
      <c r="D136" s="52"/>
      <c r="E136" s="52"/>
      <c r="F136" s="52"/>
      <c r="G136" s="52"/>
      <c r="H136" s="52"/>
      <c r="I136" s="52"/>
      <c r="J136" s="52"/>
      <c r="K136" s="52"/>
      <c r="L136" s="52"/>
      <c r="M136" s="52"/>
      <c r="N136" s="48"/>
      <c r="O136" s="533"/>
      <c r="P136" s="533"/>
      <c r="Q136" s="533"/>
      <c r="R136" s="6"/>
      <c r="S136" s="59"/>
      <c r="T136" s="22"/>
      <c r="Y136" s="378"/>
      <c r="Z136" s="379"/>
      <c r="AA136" s="379"/>
      <c r="AB136" s="379"/>
      <c r="AC136" s="379"/>
      <c r="AD136" s="379"/>
      <c r="AE136" s="379"/>
      <c r="AF136" s="379"/>
      <c r="AG136" s="379"/>
      <c r="AH136" s="379"/>
      <c r="AI136" s="379"/>
      <c r="AJ136" s="379"/>
      <c r="AK136" s="379"/>
      <c r="AL136" s="380"/>
    </row>
    <row r="137" spans="2:38" x14ac:dyDescent="0.25">
      <c r="B137" s="21"/>
      <c r="C137" s="61"/>
      <c r="D137" s="44"/>
      <c r="E137" s="44"/>
      <c r="F137" s="44"/>
      <c r="G137" s="44"/>
      <c r="H137" s="44"/>
      <c r="I137" s="44"/>
      <c r="J137" s="44"/>
      <c r="K137" s="44"/>
      <c r="L137" s="44"/>
      <c r="M137" s="44"/>
      <c r="N137" s="44"/>
      <c r="O137" s="44"/>
      <c r="P137" s="44"/>
      <c r="Q137" s="44"/>
      <c r="R137" s="44"/>
      <c r="S137" s="62"/>
      <c r="T137" s="22"/>
      <c r="Y137" s="381"/>
      <c r="Z137" s="6"/>
      <c r="AA137" s="6"/>
      <c r="AB137" s="6"/>
      <c r="AC137" s="6" t="s">
        <v>706</v>
      </c>
      <c r="AD137" s="6"/>
      <c r="AE137" s="6"/>
      <c r="AF137" s="6"/>
      <c r="AG137" s="6"/>
      <c r="AH137" s="6"/>
      <c r="AI137" s="6"/>
      <c r="AJ137" s="6"/>
      <c r="AK137" s="6"/>
      <c r="AL137" s="382"/>
    </row>
    <row r="138" spans="2:38" x14ac:dyDescent="0.25">
      <c r="B138" s="21"/>
      <c r="C138" s="6"/>
      <c r="D138" s="6"/>
      <c r="E138" s="6"/>
      <c r="F138" s="6"/>
      <c r="G138" s="6"/>
      <c r="H138" s="6"/>
      <c r="I138" s="6"/>
      <c r="J138" s="6"/>
      <c r="K138" s="6"/>
      <c r="L138" s="6"/>
      <c r="M138" s="6"/>
      <c r="N138" s="6"/>
      <c r="O138" s="6"/>
      <c r="P138" s="6"/>
      <c r="Q138" s="6"/>
      <c r="R138" s="6"/>
      <c r="S138" s="6"/>
      <c r="T138" s="22"/>
      <c r="Y138" s="381"/>
      <c r="Z138" s="6"/>
      <c r="AA138" s="6"/>
      <c r="AB138" s="6"/>
      <c r="AC138" s="6"/>
      <c r="AD138" s="6"/>
      <c r="AE138" s="6"/>
      <c r="AF138" s="6"/>
      <c r="AG138" s="6"/>
      <c r="AH138" s="6"/>
      <c r="AI138" s="6"/>
      <c r="AJ138" s="6"/>
      <c r="AK138" s="6"/>
      <c r="AL138" s="382"/>
    </row>
    <row r="139" spans="2:38" ht="15.75" x14ac:dyDescent="0.25">
      <c r="B139" s="21"/>
      <c r="C139" s="744" t="s">
        <v>129</v>
      </c>
      <c r="D139" s="745"/>
      <c r="E139" s="745"/>
      <c r="F139" s="745"/>
      <c r="G139" s="745"/>
      <c r="H139" s="745"/>
      <c r="I139" s="745"/>
      <c r="J139" s="745"/>
      <c r="K139" s="745"/>
      <c r="L139" s="745"/>
      <c r="M139" s="745"/>
      <c r="N139" s="56"/>
      <c r="O139" s="56"/>
      <c r="P139" s="56"/>
      <c r="Q139" s="56"/>
      <c r="R139" s="56"/>
      <c r="S139" s="57"/>
      <c r="T139" s="22"/>
      <c r="Y139" s="381"/>
      <c r="Z139" s="6"/>
      <c r="AA139" s="6"/>
      <c r="AB139" s="6"/>
      <c r="AC139" s="6" t="s">
        <v>693</v>
      </c>
      <c r="AD139" s="46" t="str">
        <f>cRegion</f>
        <v/>
      </c>
      <c r="AE139" s="6"/>
      <c r="AF139" s="6"/>
      <c r="AG139" s="6"/>
      <c r="AH139" s="742" t="s">
        <v>707</v>
      </c>
      <c r="AI139" s="742"/>
      <c r="AJ139" s="742"/>
      <c r="AK139" s="742"/>
      <c r="AL139" s="382"/>
    </row>
    <row r="140" spans="2:38" ht="15.75" x14ac:dyDescent="0.25">
      <c r="B140" s="21"/>
      <c r="C140" s="459"/>
      <c r="D140" s="460"/>
      <c r="E140" s="460"/>
      <c r="F140" s="460"/>
      <c r="G140" s="460"/>
      <c r="H140" s="460"/>
      <c r="I140" s="460"/>
      <c r="J140" s="460"/>
      <c r="K140" s="460"/>
      <c r="L140" s="460"/>
      <c r="M140" s="460"/>
      <c r="N140" s="6"/>
      <c r="R140" s="6"/>
      <c r="S140" s="59"/>
      <c r="T140" s="22"/>
      <c r="Y140" s="381"/>
      <c r="Z140" s="6"/>
      <c r="AA140" s="6"/>
      <c r="AB140" s="6"/>
      <c r="AC140" s="6"/>
      <c r="AD140" s="46"/>
      <c r="AE140" s="6"/>
      <c r="AF140" s="6"/>
      <c r="AG140" s="6"/>
      <c r="AH140" s="438"/>
      <c r="AI140" s="438"/>
      <c r="AJ140" s="438"/>
      <c r="AK140" s="438"/>
      <c r="AL140" s="382"/>
    </row>
    <row r="141" spans="2:38" x14ac:dyDescent="0.25">
      <c r="B141" s="21"/>
      <c r="C141" s="58" t="s">
        <v>130</v>
      </c>
      <c r="D141" s="51"/>
      <c r="E141" s="51"/>
      <c r="F141" s="51"/>
      <c r="G141" s="51"/>
      <c r="H141" s="51"/>
      <c r="I141" s="51"/>
      <c r="J141" s="51"/>
      <c r="K141" s="51"/>
      <c r="L141" s="51"/>
      <c r="M141" s="51"/>
      <c r="N141" s="47"/>
      <c r="O141" s="533"/>
      <c r="P141" s="533"/>
      <c r="Q141" s="533"/>
      <c r="R141" s="6"/>
      <c r="S141" s="59"/>
      <c r="T141" s="22"/>
      <c r="Y141" s="381"/>
      <c r="Z141" s="6"/>
      <c r="AA141" s="6"/>
      <c r="AB141" s="6"/>
      <c r="AC141" s="741" t="s">
        <v>696</v>
      </c>
      <c r="AD141" s="741"/>
      <c r="AE141" s="741" t="s">
        <v>697</v>
      </c>
      <c r="AF141" s="741"/>
      <c r="AG141" s="6"/>
      <c r="AH141" s="741" t="s">
        <v>696</v>
      </c>
      <c r="AI141" s="741"/>
      <c r="AJ141" s="741" t="s">
        <v>697</v>
      </c>
      <c r="AK141" s="741"/>
      <c r="AL141" s="382"/>
    </row>
    <row r="142" spans="2:38" x14ac:dyDescent="0.25">
      <c r="B142" s="21"/>
      <c r="C142" s="68" t="s">
        <v>133</v>
      </c>
      <c r="D142" s="44"/>
      <c r="E142" s="6"/>
      <c r="F142" s="6"/>
      <c r="G142" s="6"/>
      <c r="H142" s="6"/>
      <c r="I142" s="6"/>
      <c r="J142" s="6"/>
      <c r="K142" s="6"/>
      <c r="L142" s="6"/>
      <c r="M142" s="6"/>
      <c r="N142" s="6"/>
      <c r="O142" s="63"/>
      <c r="P142" s="63"/>
      <c r="Q142" s="63"/>
      <c r="R142" s="6"/>
      <c r="S142" s="59"/>
      <c r="T142" s="22"/>
      <c r="Y142" s="381" t="s">
        <v>705</v>
      </c>
      <c r="Z142" s="6" t="s">
        <v>704</v>
      </c>
      <c r="AA142" s="6"/>
      <c r="AB142" s="6"/>
      <c r="AC142" s="6" t="s">
        <v>694</v>
      </c>
      <c r="AD142" s="6" t="s">
        <v>695</v>
      </c>
      <c r="AE142" s="6" t="s">
        <v>694</v>
      </c>
      <c r="AF142" s="6" t="s">
        <v>695</v>
      </c>
      <c r="AG142" s="6"/>
      <c r="AH142" s="70" t="s">
        <v>694</v>
      </c>
      <c r="AI142" s="70" t="s">
        <v>695</v>
      </c>
      <c r="AJ142" s="70" t="s">
        <v>694</v>
      </c>
      <c r="AK142" s="70" t="s">
        <v>695</v>
      </c>
      <c r="AL142" s="382"/>
    </row>
    <row r="143" spans="2:38" x14ac:dyDescent="0.25">
      <c r="B143" s="21"/>
      <c r="C143" s="69"/>
      <c r="D143" s="70" t="s">
        <v>193</v>
      </c>
      <c r="E143" s="749"/>
      <c r="F143" s="750"/>
      <c r="G143" s="751"/>
      <c r="H143" s="65"/>
      <c r="I143" s="51"/>
      <c r="J143" s="51"/>
      <c r="K143" s="51"/>
      <c r="L143" s="51"/>
      <c r="M143" s="51"/>
      <c r="N143" s="51"/>
      <c r="O143" s="533"/>
      <c r="P143" s="533"/>
      <c r="Q143" s="533"/>
      <c r="R143" s="6"/>
      <c r="S143" s="59"/>
      <c r="T143" s="22"/>
      <c r="Y143" s="381" t="str">
        <f>$AD$139&amp;AA143&amp;AB143</f>
        <v>0</v>
      </c>
      <c r="Z143" s="6" t="str">
        <f>$AD$139&amp;AB143</f>
        <v/>
      </c>
      <c r="AA143" s="266">
        <f t="shared" ref="AA143:AA157" si="2">E143</f>
        <v>0</v>
      </c>
      <c r="AB143" s="266" t="str">
        <f>IF(AA143&lt;&gt;0,INDEX(Listes!M:M,MATCH(Surfaces!AA143,Listes!L:L,0)),"")</f>
        <v/>
      </c>
      <c r="AC143" s="383">
        <f>IFERROR(INDEX(Scoring_Arboriculture!H:H,MATCH(Surfaces!Z143,Scoring_Arboriculture!B:B,0)),0)</f>
        <v>0</v>
      </c>
      <c r="AD143" s="383">
        <f>IFERROR(INDEX(Scoring_Arboriculture!I:I,MATCH(Surfaces!Z143,Scoring_Arboriculture!B:B,0)),0)</f>
        <v>0</v>
      </c>
      <c r="AE143" s="383">
        <f>IFERROR(INDEX(Scoring_Arboriculture!J:J,MATCH(Surfaces!Z143,Scoring_Arboriculture!B:B,0)),0)</f>
        <v>0</v>
      </c>
      <c r="AF143" s="383">
        <f>IFERROR(INDEX(Scoring_Arboriculture!K:K,MATCH(Surfaces!Z143,Scoring_Arboriculture!B:B,0)),0)</f>
        <v>0</v>
      </c>
      <c r="AG143" s="6"/>
      <c r="AH143" s="407">
        <f>IFERROR(INDEX(Scoring_Arboriculture!S:S,MATCH(Surfaces!Z143,Scoring_Arboriculture!M:M,0)),0)</f>
        <v>0</v>
      </c>
      <c r="AI143" s="407">
        <f>IFERROR(INDEX(Scoring_Arboriculture!T:T,MATCH(Surfaces!Z143,Scoring_Arboriculture!M:M,0)),0)</f>
        <v>0</v>
      </c>
      <c r="AJ143" s="407">
        <f>IFERROR(INDEX(Scoring_Arboriculture!U:U,MATCH(Surfaces!Z143,Scoring_Arboriculture!M:M,0)),0)</f>
        <v>0</v>
      </c>
      <c r="AK143" s="407">
        <f>IFERROR(INDEX(Scoring_Arboriculture!V:V,MATCH(Surfaces!Z143,Scoring_Arboriculture!M:M,0)),0)</f>
        <v>0</v>
      </c>
      <c r="AL143" s="382"/>
    </row>
    <row r="144" spans="2:38" x14ac:dyDescent="0.25">
      <c r="B144" s="21"/>
      <c r="C144" s="69"/>
      <c r="D144" s="70" t="s">
        <v>194</v>
      </c>
      <c r="E144" s="749"/>
      <c r="F144" s="750"/>
      <c r="G144" s="751"/>
      <c r="H144" s="52"/>
      <c r="I144" s="52"/>
      <c r="J144" s="52"/>
      <c r="K144" s="52"/>
      <c r="L144" s="52"/>
      <c r="M144" s="52"/>
      <c r="N144" s="52"/>
      <c r="O144" s="533"/>
      <c r="P144" s="533"/>
      <c r="Q144" s="533"/>
      <c r="R144" s="6"/>
      <c r="S144" s="59"/>
      <c r="T144" s="22"/>
      <c r="Y144" s="381" t="str">
        <f t="shared" ref="Y144:Y157" si="3">$AD$139&amp;AA144&amp;AB144</f>
        <v>0</v>
      </c>
      <c r="Z144" s="6" t="str">
        <f t="shared" ref="Z144:Z157" si="4">$AD$139&amp;AB144</f>
        <v/>
      </c>
      <c r="AA144" s="266">
        <f t="shared" si="2"/>
        <v>0</v>
      </c>
      <c r="AB144" s="394" t="str">
        <f>IF(AA144&lt;&gt;0,INDEX(Listes!M:M,MATCH(Surfaces!AA144,Listes!L:L,0)),"")</f>
        <v/>
      </c>
      <c r="AC144" s="383">
        <f>IFERROR(INDEX(Scoring_Arboriculture!H:H,MATCH(Surfaces!Z144,Scoring_Arboriculture!B:B,0)),0)</f>
        <v>0</v>
      </c>
      <c r="AD144" s="383">
        <f>IFERROR(INDEX(Scoring_Arboriculture!I:I,MATCH(Surfaces!Z144,Scoring_Arboriculture!B:B,0)),0)</f>
        <v>0</v>
      </c>
      <c r="AE144" s="383">
        <f>IFERROR(INDEX(Scoring_Arboriculture!J:J,MATCH(Surfaces!Z144,Scoring_Arboriculture!B:B,0)),0)</f>
        <v>0</v>
      </c>
      <c r="AF144" s="383">
        <f>IFERROR(INDEX(Scoring_Arboriculture!K:K,MATCH(Surfaces!Z144,Scoring_Arboriculture!B:B,0)),0)</f>
        <v>0</v>
      </c>
      <c r="AG144" s="6"/>
      <c r="AH144" s="407">
        <f>IFERROR(INDEX(Scoring_Arboriculture!S:S,MATCH(Surfaces!Z144,Scoring_Arboriculture!M:M,0)),0)</f>
        <v>0</v>
      </c>
      <c r="AI144" s="407">
        <f>IFERROR(INDEX(Scoring_Arboriculture!T:T,MATCH(Surfaces!Z144,Scoring_Arboriculture!M:M,0)),0)</f>
        <v>0</v>
      </c>
      <c r="AJ144" s="407">
        <f>IFERROR(INDEX(Scoring_Arboriculture!U:U,MATCH(Surfaces!Z144,Scoring_Arboriculture!M:M,0)),0)</f>
        <v>0</v>
      </c>
      <c r="AK144" s="407">
        <f>IFERROR(INDEX(Scoring_Arboriculture!V:V,MATCH(Surfaces!Z144,Scoring_Arboriculture!M:M,0)),0)</f>
        <v>0</v>
      </c>
      <c r="AL144" s="382"/>
    </row>
    <row r="145" spans="2:38" x14ac:dyDescent="0.25">
      <c r="B145" s="21"/>
      <c r="C145" s="69"/>
      <c r="D145" s="70" t="s">
        <v>195</v>
      </c>
      <c r="E145" s="749"/>
      <c r="F145" s="750"/>
      <c r="G145" s="751"/>
      <c r="H145" s="52"/>
      <c r="I145" s="52"/>
      <c r="J145" s="52"/>
      <c r="K145" s="52"/>
      <c r="L145" s="52"/>
      <c r="M145" s="52"/>
      <c r="N145" s="52"/>
      <c r="O145" s="533"/>
      <c r="P145" s="533"/>
      <c r="Q145" s="533"/>
      <c r="R145" s="6"/>
      <c r="S145" s="59"/>
      <c r="T145" s="22"/>
      <c r="Y145" s="381" t="str">
        <f t="shared" si="3"/>
        <v>0</v>
      </c>
      <c r="Z145" s="6" t="str">
        <f t="shared" si="4"/>
        <v/>
      </c>
      <c r="AA145" s="266">
        <f t="shared" si="2"/>
        <v>0</v>
      </c>
      <c r="AB145" s="394" t="str">
        <f>IF(AA145&lt;&gt;0,INDEX(Listes!M:M,MATCH(Surfaces!AA145,Listes!L:L,0)),"")</f>
        <v/>
      </c>
      <c r="AC145" s="383">
        <f>IFERROR(INDEX(Scoring_Arboriculture!H:H,MATCH(Surfaces!Z145,Scoring_Arboriculture!B:B,0)),0)</f>
        <v>0</v>
      </c>
      <c r="AD145" s="383">
        <f>IFERROR(INDEX(Scoring_Arboriculture!I:I,MATCH(Surfaces!Z145,Scoring_Arboriculture!B:B,0)),0)</f>
        <v>0</v>
      </c>
      <c r="AE145" s="383">
        <f>IFERROR(INDEX(Scoring_Arboriculture!J:J,MATCH(Surfaces!Z145,Scoring_Arboriculture!B:B,0)),0)</f>
        <v>0</v>
      </c>
      <c r="AF145" s="383">
        <f>IFERROR(INDEX(Scoring_Arboriculture!K:K,MATCH(Surfaces!Z145,Scoring_Arboriculture!B:B,0)),0)</f>
        <v>0</v>
      </c>
      <c r="AG145" s="6"/>
      <c r="AH145" s="407">
        <f>IFERROR(INDEX(Scoring_Arboriculture!S:S,MATCH(Surfaces!Z145,Scoring_Arboriculture!M:M,0)),0)</f>
        <v>0</v>
      </c>
      <c r="AI145" s="407">
        <f>IFERROR(INDEX(Scoring_Arboriculture!T:T,MATCH(Surfaces!Z145,Scoring_Arboriculture!M:M,0)),0)</f>
        <v>0</v>
      </c>
      <c r="AJ145" s="407">
        <f>IFERROR(INDEX(Scoring_Arboriculture!U:U,MATCH(Surfaces!Z145,Scoring_Arboriculture!M:M,0)),0)</f>
        <v>0</v>
      </c>
      <c r="AK145" s="407">
        <f>IFERROR(INDEX(Scoring_Arboriculture!V:V,MATCH(Surfaces!Z145,Scoring_Arboriculture!M:M,0)),0)</f>
        <v>0</v>
      </c>
      <c r="AL145" s="382"/>
    </row>
    <row r="146" spans="2:38" x14ac:dyDescent="0.25">
      <c r="B146" s="21"/>
      <c r="C146" s="69"/>
      <c r="D146" s="70" t="s">
        <v>196</v>
      </c>
      <c r="E146" s="749"/>
      <c r="F146" s="750"/>
      <c r="G146" s="751"/>
      <c r="H146" s="52"/>
      <c r="I146" s="52"/>
      <c r="J146" s="52"/>
      <c r="K146" s="52"/>
      <c r="L146" s="52"/>
      <c r="M146" s="52"/>
      <c r="N146" s="52"/>
      <c r="O146" s="533"/>
      <c r="P146" s="533"/>
      <c r="Q146" s="533"/>
      <c r="R146" s="6"/>
      <c r="S146" s="59"/>
      <c r="T146" s="22"/>
      <c r="Y146" s="381" t="str">
        <f t="shared" si="3"/>
        <v>0</v>
      </c>
      <c r="Z146" s="6" t="str">
        <f t="shared" si="4"/>
        <v/>
      </c>
      <c r="AA146" s="266">
        <f t="shared" si="2"/>
        <v>0</v>
      </c>
      <c r="AB146" s="394" t="str">
        <f>IF(AA146&lt;&gt;0,INDEX(Listes!M:M,MATCH(Surfaces!AA146,Listes!L:L,0)),"")</f>
        <v/>
      </c>
      <c r="AC146" s="383">
        <f>IFERROR(INDEX(Scoring_Arboriculture!H:H,MATCH(Surfaces!Z146,Scoring_Arboriculture!B:B,0)),0)</f>
        <v>0</v>
      </c>
      <c r="AD146" s="383">
        <f>IFERROR(INDEX(Scoring_Arboriculture!I:I,MATCH(Surfaces!Z146,Scoring_Arboriculture!B:B,0)),0)</f>
        <v>0</v>
      </c>
      <c r="AE146" s="383">
        <f>IFERROR(INDEX(Scoring_Arboriculture!J:J,MATCH(Surfaces!Z146,Scoring_Arboriculture!B:B,0)),0)</f>
        <v>0</v>
      </c>
      <c r="AF146" s="383">
        <f>IFERROR(INDEX(Scoring_Arboriculture!K:K,MATCH(Surfaces!Z146,Scoring_Arboriculture!B:B,0)),0)</f>
        <v>0</v>
      </c>
      <c r="AG146" s="6"/>
      <c r="AH146" s="407">
        <f>IFERROR(INDEX(Scoring_Arboriculture!S:S,MATCH(Surfaces!Z146,Scoring_Arboriculture!M:M,0)),0)</f>
        <v>0</v>
      </c>
      <c r="AI146" s="407">
        <f>IFERROR(INDEX(Scoring_Arboriculture!T:T,MATCH(Surfaces!Z146,Scoring_Arboriculture!M:M,0)),0)</f>
        <v>0</v>
      </c>
      <c r="AJ146" s="407">
        <f>IFERROR(INDEX(Scoring_Arboriculture!U:U,MATCH(Surfaces!Z146,Scoring_Arboriculture!M:M,0)),0)</f>
        <v>0</v>
      </c>
      <c r="AK146" s="407">
        <f>IFERROR(INDEX(Scoring_Arboriculture!V:V,MATCH(Surfaces!Z146,Scoring_Arboriculture!M:M,0)),0)</f>
        <v>0</v>
      </c>
      <c r="AL146" s="382"/>
    </row>
    <row r="147" spans="2:38" x14ac:dyDescent="0.25">
      <c r="B147" s="21"/>
      <c r="C147" s="69"/>
      <c r="D147" s="70" t="s">
        <v>197</v>
      </c>
      <c r="E147" s="749"/>
      <c r="F147" s="750"/>
      <c r="G147" s="751"/>
      <c r="H147" s="52"/>
      <c r="I147" s="52"/>
      <c r="J147" s="52"/>
      <c r="K147" s="52"/>
      <c r="L147" s="52"/>
      <c r="M147" s="52"/>
      <c r="N147" s="52"/>
      <c r="O147" s="533"/>
      <c r="P147" s="533"/>
      <c r="Q147" s="533"/>
      <c r="R147" s="6"/>
      <c r="S147" s="59"/>
      <c r="T147" s="22"/>
      <c r="Y147" s="381" t="str">
        <f t="shared" si="3"/>
        <v>0</v>
      </c>
      <c r="Z147" s="6" t="str">
        <f t="shared" si="4"/>
        <v/>
      </c>
      <c r="AA147" s="266">
        <f t="shared" si="2"/>
        <v>0</v>
      </c>
      <c r="AB147" s="394" t="str">
        <f>IF(AA147&lt;&gt;0,INDEX(Listes!M:M,MATCH(Surfaces!AA147,Listes!L:L,0)),"")</f>
        <v/>
      </c>
      <c r="AC147" s="383">
        <f>IFERROR(INDEX(Scoring_Arboriculture!H:H,MATCH(Surfaces!Z147,Scoring_Arboriculture!B:B,0)),0)</f>
        <v>0</v>
      </c>
      <c r="AD147" s="383">
        <f>IFERROR(INDEX(Scoring_Arboriculture!I:I,MATCH(Surfaces!Z147,Scoring_Arboriculture!B:B,0)),0)</f>
        <v>0</v>
      </c>
      <c r="AE147" s="383">
        <f>IFERROR(INDEX(Scoring_Arboriculture!J:J,MATCH(Surfaces!Z147,Scoring_Arboriculture!B:B,0)),0)</f>
        <v>0</v>
      </c>
      <c r="AF147" s="383">
        <f>IFERROR(INDEX(Scoring_Arboriculture!K:K,MATCH(Surfaces!Z147,Scoring_Arboriculture!B:B,0)),0)</f>
        <v>0</v>
      </c>
      <c r="AG147" s="6"/>
      <c r="AH147" s="407">
        <f>IFERROR(INDEX(Scoring_Arboriculture!S:S,MATCH(Surfaces!Z147,Scoring_Arboriculture!M:M,0)),0)</f>
        <v>0</v>
      </c>
      <c r="AI147" s="407">
        <f>IFERROR(INDEX(Scoring_Arboriculture!T:T,MATCH(Surfaces!Z147,Scoring_Arboriculture!M:M,0)),0)</f>
        <v>0</v>
      </c>
      <c r="AJ147" s="407">
        <f>IFERROR(INDEX(Scoring_Arboriculture!U:U,MATCH(Surfaces!Z147,Scoring_Arboriculture!M:M,0)),0)</f>
        <v>0</v>
      </c>
      <c r="AK147" s="407">
        <f>IFERROR(INDEX(Scoring_Arboriculture!V:V,MATCH(Surfaces!Z147,Scoring_Arboriculture!M:M,0)),0)</f>
        <v>0</v>
      </c>
      <c r="AL147" s="382"/>
    </row>
    <row r="148" spans="2:38" x14ac:dyDescent="0.25">
      <c r="B148" s="21"/>
      <c r="C148" s="69"/>
      <c r="D148" s="70" t="s">
        <v>198</v>
      </c>
      <c r="E148" s="749"/>
      <c r="F148" s="750"/>
      <c r="G148" s="751"/>
      <c r="H148" s="52"/>
      <c r="I148" s="52"/>
      <c r="J148" s="52"/>
      <c r="K148" s="52"/>
      <c r="L148" s="52"/>
      <c r="M148" s="52"/>
      <c r="N148" s="52"/>
      <c r="O148" s="533"/>
      <c r="P148" s="533"/>
      <c r="Q148" s="533"/>
      <c r="R148" s="6"/>
      <c r="S148" s="59"/>
      <c r="T148" s="22"/>
      <c r="Y148" s="381" t="str">
        <f t="shared" si="3"/>
        <v>0</v>
      </c>
      <c r="Z148" s="6" t="str">
        <f t="shared" si="4"/>
        <v/>
      </c>
      <c r="AA148" s="266">
        <f t="shared" si="2"/>
        <v>0</v>
      </c>
      <c r="AB148" s="394" t="str">
        <f>IF(AA148&lt;&gt;0,INDEX(Listes!M:M,MATCH(Surfaces!AA148,Listes!L:L,0)),"")</f>
        <v/>
      </c>
      <c r="AC148" s="383">
        <f>IFERROR(INDEX(Scoring_Arboriculture!H:H,MATCH(Surfaces!Z148,Scoring_Arboriculture!B:B,0)),0)</f>
        <v>0</v>
      </c>
      <c r="AD148" s="383">
        <f>IFERROR(INDEX(Scoring_Arboriculture!I:I,MATCH(Surfaces!Z148,Scoring_Arboriculture!B:B,0)),0)</f>
        <v>0</v>
      </c>
      <c r="AE148" s="383">
        <f>IFERROR(INDEX(Scoring_Arboriculture!J:J,MATCH(Surfaces!Z148,Scoring_Arboriculture!B:B,0)),0)</f>
        <v>0</v>
      </c>
      <c r="AF148" s="383">
        <f>IFERROR(INDEX(Scoring_Arboriculture!K:K,MATCH(Surfaces!Z148,Scoring_Arboriculture!B:B,0)),0)</f>
        <v>0</v>
      </c>
      <c r="AG148" s="6"/>
      <c r="AH148" s="407">
        <f>IFERROR(INDEX(Scoring_Arboriculture!S:S,MATCH(Surfaces!Z148,Scoring_Arboriculture!M:M,0)),0)</f>
        <v>0</v>
      </c>
      <c r="AI148" s="407">
        <f>IFERROR(INDEX(Scoring_Arboriculture!T:T,MATCH(Surfaces!Z148,Scoring_Arboriculture!M:M,0)),0)</f>
        <v>0</v>
      </c>
      <c r="AJ148" s="407">
        <f>IFERROR(INDEX(Scoring_Arboriculture!U:U,MATCH(Surfaces!Z148,Scoring_Arboriculture!M:M,0)),0)</f>
        <v>0</v>
      </c>
      <c r="AK148" s="407">
        <f>IFERROR(INDEX(Scoring_Arboriculture!V:V,MATCH(Surfaces!Z148,Scoring_Arboriculture!M:M,0)),0)</f>
        <v>0</v>
      </c>
      <c r="AL148" s="382"/>
    </row>
    <row r="149" spans="2:38" x14ac:dyDescent="0.25">
      <c r="B149" s="21"/>
      <c r="C149" s="69"/>
      <c r="D149" s="70" t="s">
        <v>199</v>
      </c>
      <c r="E149" s="749"/>
      <c r="F149" s="750"/>
      <c r="G149" s="751"/>
      <c r="H149" s="52"/>
      <c r="I149" s="52"/>
      <c r="J149" s="52"/>
      <c r="K149" s="52"/>
      <c r="L149" s="52"/>
      <c r="M149" s="52"/>
      <c r="N149" s="52"/>
      <c r="O149" s="533"/>
      <c r="P149" s="533"/>
      <c r="Q149" s="533"/>
      <c r="R149" s="6"/>
      <c r="S149" s="59"/>
      <c r="T149" s="22"/>
      <c r="Y149" s="381" t="str">
        <f t="shared" si="3"/>
        <v>0</v>
      </c>
      <c r="Z149" s="6" t="str">
        <f t="shared" si="4"/>
        <v/>
      </c>
      <c r="AA149" s="266">
        <f t="shared" si="2"/>
        <v>0</v>
      </c>
      <c r="AB149" s="394" t="str">
        <f>IF(AA149&lt;&gt;0,INDEX(Listes!M:M,MATCH(Surfaces!AA149,Listes!L:L,0)),"")</f>
        <v/>
      </c>
      <c r="AC149" s="383">
        <f>IFERROR(INDEX(Scoring_Arboriculture!H:H,MATCH(Surfaces!Z149,Scoring_Arboriculture!B:B,0)),0)</f>
        <v>0</v>
      </c>
      <c r="AD149" s="383">
        <f>IFERROR(INDEX(Scoring_Arboriculture!I:I,MATCH(Surfaces!Z149,Scoring_Arboriculture!B:B,0)),0)</f>
        <v>0</v>
      </c>
      <c r="AE149" s="383">
        <f>IFERROR(INDEX(Scoring_Arboriculture!J:J,MATCH(Surfaces!Z149,Scoring_Arboriculture!B:B,0)),0)</f>
        <v>0</v>
      </c>
      <c r="AF149" s="383">
        <f>IFERROR(INDEX(Scoring_Arboriculture!K:K,MATCH(Surfaces!Z149,Scoring_Arboriculture!B:B,0)),0)</f>
        <v>0</v>
      </c>
      <c r="AG149" s="6"/>
      <c r="AH149" s="407">
        <f>IFERROR(INDEX(Scoring_Arboriculture!S:S,MATCH(Surfaces!Z149,Scoring_Arboriculture!M:M,0)),0)</f>
        <v>0</v>
      </c>
      <c r="AI149" s="407">
        <f>IFERROR(INDEX(Scoring_Arboriculture!T:T,MATCH(Surfaces!Z149,Scoring_Arboriculture!M:M,0)),0)</f>
        <v>0</v>
      </c>
      <c r="AJ149" s="407">
        <f>IFERROR(INDEX(Scoring_Arboriculture!U:U,MATCH(Surfaces!Z149,Scoring_Arboriculture!M:M,0)),0)</f>
        <v>0</v>
      </c>
      <c r="AK149" s="407">
        <f>IFERROR(INDEX(Scoring_Arboriculture!V:V,MATCH(Surfaces!Z149,Scoring_Arboriculture!M:M,0)),0)</f>
        <v>0</v>
      </c>
      <c r="AL149" s="382"/>
    </row>
    <row r="150" spans="2:38" x14ac:dyDescent="0.25">
      <c r="B150" s="21"/>
      <c r="C150" s="69"/>
      <c r="D150" s="70" t="s">
        <v>200</v>
      </c>
      <c r="E150" s="749"/>
      <c r="F150" s="750"/>
      <c r="G150" s="751"/>
      <c r="H150" s="52"/>
      <c r="I150" s="52"/>
      <c r="J150" s="52"/>
      <c r="K150" s="52"/>
      <c r="L150" s="52"/>
      <c r="M150" s="52"/>
      <c r="N150" s="52"/>
      <c r="O150" s="533"/>
      <c r="P150" s="533"/>
      <c r="Q150" s="533"/>
      <c r="R150" s="6"/>
      <c r="S150" s="59"/>
      <c r="T150" s="22"/>
      <c r="Y150" s="381" t="str">
        <f t="shared" si="3"/>
        <v>0</v>
      </c>
      <c r="Z150" s="6" t="str">
        <f t="shared" si="4"/>
        <v/>
      </c>
      <c r="AA150" s="266">
        <f t="shared" si="2"/>
        <v>0</v>
      </c>
      <c r="AB150" s="394" t="str">
        <f>IF(AA150&lt;&gt;0,INDEX(Listes!M:M,MATCH(Surfaces!AA150,Listes!L:L,0)),"")</f>
        <v/>
      </c>
      <c r="AC150" s="383">
        <f>IFERROR(INDEX(Scoring_Arboriculture!H:H,MATCH(Surfaces!Z150,Scoring_Arboriculture!B:B,0)),0)</f>
        <v>0</v>
      </c>
      <c r="AD150" s="383">
        <f>IFERROR(INDEX(Scoring_Arboriculture!I:I,MATCH(Surfaces!Z150,Scoring_Arboriculture!B:B,0)),0)</f>
        <v>0</v>
      </c>
      <c r="AE150" s="383">
        <f>IFERROR(INDEX(Scoring_Arboriculture!J:J,MATCH(Surfaces!Z150,Scoring_Arboriculture!B:B,0)),0)</f>
        <v>0</v>
      </c>
      <c r="AF150" s="383">
        <f>IFERROR(INDEX(Scoring_Arboriculture!K:K,MATCH(Surfaces!Z150,Scoring_Arboriculture!B:B,0)),0)</f>
        <v>0</v>
      </c>
      <c r="AG150" s="6"/>
      <c r="AH150" s="407">
        <f>IFERROR(INDEX(Scoring_Arboriculture!S:S,MATCH(Surfaces!Z150,Scoring_Arboriculture!M:M,0)),0)</f>
        <v>0</v>
      </c>
      <c r="AI150" s="407">
        <f>IFERROR(INDEX(Scoring_Arboriculture!T:T,MATCH(Surfaces!Z150,Scoring_Arboriculture!M:M,0)),0)</f>
        <v>0</v>
      </c>
      <c r="AJ150" s="407">
        <f>IFERROR(INDEX(Scoring_Arboriculture!U:U,MATCH(Surfaces!Z150,Scoring_Arboriculture!M:M,0)),0)</f>
        <v>0</v>
      </c>
      <c r="AK150" s="407">
        <f>IFERROR(INDEX(Scoring_Arboriculture!V:V,MATCH(Surfaces!Z150,Scoring_Arboriculture!M:M,0)),0)</f>
        <v>0</v>
      </c>
      <c r="AL150" s="382"/>
    </row>
    <row r="151" spans="2:38" x14ac:dyDescent="0.25">
      <c r="B151" s="21"/>
      <c r="C151" s="69"/>
      <c r="D151" s="70" t="s">
        <v>201</v>
      </c>
      <c r="E151" s="749"/>
      <c r="F151" s="750"/>
      <c r="G151" s="751"/>
      <c r="H151" s="52"/>
      <c r="I151" s="52"/>
      <c r="J151" s="52"/>
      <c r="K151" s="52"/>
      <c r="L151" s="52"/>
      <c r="M151" s="52"/>
      <c r="N151" s="52"/>
      <c r="O151" s="533"/>
      <c r="P151" s="533"/>
      <c r="Q151" s="533"/>
      <c r="R151" s="6"/>
      <c r="S151" s="59"/>
      <c r="T151" s="22"/>
      <c r="Y151" s="381" t="str">
        <f t="shared" si="3"/>
        <v>0</v>
      </c>
      <c r="Z151" s="6" t="str">
        <f t="shared" si="4"/>
        <v/>
      </c>
      <c r="AA151" s="266">
        <f t="shared" si="2"/>
        <v>0</v>
      </c>
      <c r="AB151" s="394" t="str">
        <f>IF(AA151&lt;&gt;0,INDEX(Listes!M:M,MATCH(Surfaces!AA151,Listes!L:L,0)),"")</f>
        <v/>
      </c>
      <c r="AC151" s="383">
        <f>IFERROR(INDEX(Scoring_Arboriculture!H:H,MATCH(Surfaces!Z151,Scoring_Arboriculture!B:B,0)),0)</f>
        <v>0</v>
      </c>
      <c r="AD151" s="383">
        <f>IFERROR(INDEX(Scoring_Arboriculture!I:I,MATCH(Surfaces!Z151,Scoring_Arboriculture!B:B,0)),0)</f>
        <v>0</v>
      </c>
      <c r="AE151" s="383">
        <f>IFERROR(INDEX(Scoring_Arboriculture!J:J,MATCH(Surfaces!Z151,Scoring_Arboriculture!B:B,0)),0)</f>
        <v>0</v>
      </c>
      <c r="AF151" s="383">
        <f>IFERROR(INDEX(Scoring_Arboriculture!K:K,MATCH(Surfaces!Z151,Scoring_Arboriculture!B:B,0)),0)</f>
        <v>0</v>
      </c>
      <c r="AG151" s="6"/>
      <c r="AH151" s="407">
        <f>IFERROR(INDEX(Scoring_Arboriculture!S:S,MATCH(Surfaces!Z151,Scoring_Arboriculture!M:M,0)),0)</f>
        <v>0</v>
      </c>
      <c r="AI151" s="407">
        <f>IFERROR(INDEX(Scoring_Arboriculture!T:T,MATCH(Surfaces!Z151,Scoring_Arboriculture!M:M,0)),0)</f>
        <v>0</v>
      </c>
      <c r="AJ151" s="407">
        <f>IFERROR(INDEX(Scoring_Arboriculture!U:U,MATCH(Surfaces!Z151,Scoring_Arboriculture!M:M,0)),0)</f>
        <v>0</v>
      </c>
      <c r="AK151" s="407">
        <f>IFERROR(INDEX(Scoring_Arboriculture!V:V,MATCH(Surfaces!Z151,Scoring_Arboriculture!M:M,0)),0)</f>
        <v>0</v>
      </c>
      <c r="AL151" s="382"/>
    </row>
    <row r="152" spans="2:38" x14ac:dyDescent="0.25">
      <c r="B152" s="21"/>
      <c r="C152" s="69"/>
      <c r="D152" s="70" t="s">
        <v>202</v>
      </c>
      <c r="E152" s="749"/>
      <c r="F152" s="750"/>
      <c r="G152" s="751"/>
      <c r="H152" s="52"/>
      <c r="I152" s="52"/>
      <c r="J152" s="52"/>
      <c r="K152" s="52"/>
      <c r="L152" s="52"/>
      <c r="M152" s="52"/>
      <c r="N152" s="52"/>
      <c r="O152" s="533"/>
      <c r="P152" s="533"/>
      <c r="Q152" s="533"/>
      <c r="R152" s="6"/>
      <c r="S152" s="59"/>
      <c r="T152" s="22"/>
      <c r="Y152" s="381" t="str">
        <f t="shared" si="3"/>
        <v>0</v>
      </c>
      <c r="Z152" s="6" t="str">
        <f t="shared" si="4"/>
        <v/>
      </c>
      <c r="AA152" s="266">
        <f t="shared" si="2"/>
        <v>0</v>
      </c>
      <c r="AB152" s="394" t="str">
        <f>IF(AA152&lt;&gt;0,INDEX(Listes!M:M,MATCH(Surfaces!AA152,Listes!L:L,0)),"")</f>
        <v/>
      </c>
      <c r="AC152" s="383">
        <f>IFERROR(INDEX(Scoring_Arboriculture!H:H,MATCH(Surfaces!Z152,Scoring_Arboriculture!B:B,0)),0)</f>
        <v>0</v>
      </c>
      <c r="AD152" s="383">
        <f>IFERROR(INDEX(Scoring_Arboriculture!I:I,MATCH(Surfaces!Z152,Scoring_Arboriculture!B:B,0)),0)</f>
        <v>0</v>
      </c>
      <c r="AE152" s="383">
        <f>IFERROR(INDEX(Scoring_Arboriculture!J:J,MATCH(Surfaces!Z152,Scoring_Arboriculture!B:B,0)),0)</f>
        <v>0</v>
      </c>
      <c r="AF152" s="383">
        <f>IFERROR(INDEX(Scoring_Arboriculture!K:K,MATCH(Surfaces!Z152,Scoring_Arboriculture!B:B,0)),0)</f>
        <v>0</v>
      </c>
      <c r="AG152" s="6"/>
      <c r="AH152" s="407">
        <f>IFERROR(INDEX(Scoring_Arboriculture!S:S,MATCH(Surfaces!Z152,Scoring_Arboriculture!M:M,0)),0)</f>
        <v>0</v>
      </c>
      <c r="AI152" s="407">
        <f>IFERROR(INDEX(Scoring_Arboriculture!T:T,MATCH(Surfaces!Z152,Scoring_Arboriculture!M:M,0)),0)</f>
        <v>0</v>
      </c>
      <c r="AJ152" s="407">
        <f>IFERROR(INDEX(Scoring_Arboriculture!U:U,MATCH(Surfaces!Z152,Scoring_Arboriculture!M:M,0)),0)</f>
        <v>0</v>
      </c>
      <c r="AK152" s="407">
        <f>IFERROR(INDEX(Scoring_Arboriculture!V:V,MATCH(Surfaces!Z152,Scoring_Arboriculture!M:M,0)),0)</f>
        <v>0</v>
      </c>
      <c r="AL152" s="382"/>
    </row>
    <row r="153" spans="2:38" x14ac:dyDescent="0.25">
      <c r="B153" s="21"/>
      <c r="C153" s="69"/>
      <c r="D153" s="70" t="s">
        <v>203</v>
      </c>
      <c r="E153" s="749"/>
      <c r="F153" s="750"/>
      <c r="G153" s="751"/>
      <c r="H153" s="52"/>
      <c r="I153" s="52"/>
      <c r="J153" s="52"/>
      <c r="K153" s="52"/>
      <c r="L153" s="52"/>
      <c r="M153" s="52"/>
      <c r="N153" s="52"/>
      <c r="O153" s="533"/>
      <c r="P153" s="533"/>
      <c r="Q153" s="533"/>
      <c r="R153" s="6"/>
      <c r="S153" s="59"/>
      <c r="T153" s="22"/>
      <c r="Y153" s="381" t="str">
        <f t="shared" si="3"/>
        <v>0</v>
      </c>
      <c r="Z153" s="6" t="str">
        <f t="shared" si="4"/>
        <v/>
      </c>
      <c r="AA153" s="266">
        <f t="shared" si="2"/>
        <v>0</v>
      </c>
      <c r="AB153" s="394" t="str">
        <f>IF(AA153&lt;&gt;0,INDEX(Listes!M:M,MATCH(Surfaces!AA153,Listes!L:L,0)),"")</f>
        <v/>
      </c>
      <c r="AC153" s="383">
        <f>IFERROR(INDEX(Scoring_Arboriculture!H:H,MATCH(Surfaces!Z153,Scoring_Arboriculture!B:B,0)),0)</f>
        <v>0</v>
      </c>
      <c r="AD153" s="383">
        <f>IFERROR(INDEX(Scoring_Arboriculture!I:I,MATCH(Surfaces!Z153,Scoring_Arboriculture!B:B,0)),0)</f>
        <v>0</v>
      </c>
      <c r="AE153" s="383">
        <f>IFERROR(INDEX(Scoring_Arboriculture!J:J,MATCH(Surfaces!Z153,Scoring_Arboriculture!B:B,0)),0)</f>
        <v>0</v>
      </c>
      <c r="AF153" s="383">
        <f>IFERROR(INDEX(Scoring_Arboriculture!K:K,MATCH(Surfaces!Z153,Scoring_Arboriculture!B:B,0)),0)</f>
        <v>0</v>
      </c>
      <c r="AG153" s="6"/>
      <c r="AH153" s="407">
        <f>IFERROR(INDEX(Scoring_Arboriculture!S:S,MATCH(Surfaces!Z153,Scoring_Arboriculture!M:M,0)),0)</f>
        <v>0</v>
      </c>
      <c r="AI153" s="407">
        <f>IFERROR(INDEX(Scoring_Arboriculture!T:T,MATCH(Surfaces!Z153,Scoring_Arboriculture!M:M,0)),0)</f>
        <v>0</v>
      </c>
      <c r="AJ153" s="407">
        <f>IFERROR(INDEX(Scoring_Arboriculture!U:U,MATCH(Surfaces!Z153,Scoring_Arboriculture!M:M,0)),0)</f>
        <v>0</v>
      </c>
      <c r="AK153" s="407">
        <f>IFERROR(INDEX(Scoring_Arboriculture!V:V,MATCH(Surfaces!Z153,Scoring_Arboriculture!M:M,0)),0)</f>
        <v>0</v>
      </c>
      <c r="AL153" s="382"/>
    </row>
    <row r="154" spans="2:38" x14ac:dyDescent="0.25">
      <c r="B154" s="21"/>
      <c r="C154" s="69"/>
      <c r="D154" s="70" t="s">
        <v>204</v>
      </c>
      <c r="E154" s="749"/>
      <c r="F154" s="750"/>
      <c r="G154" s="751"/>
      <c r="H154" s="52"/>
      <c r="I154" s="52"/>
      <c r="J154" s="52"/>
      <c r="K154" s="52"/>
      <c r="L154" s="52"/>
      <c r="M154" s="52"/>
      <c r="N154" s="52"/>
      <c r="O154" s="533"/>
      <c r="P154" s="533"/>
      <c r="Q154" s="533"/>
      <c r="R154" s="6"/>
      <c r="S154" s="59"/>
      <c r="T154" s="22"/>
      <c r="Y154" s="381" t="str">
        <f t="shared" si="3"/>
        <v>0</v>
      </c>
      <c r="Z154" s="6" t="str">
        <f t="shared" si="4"/>
        <v/>
      </c>
      <c r="AA154" s="266">
        <f t="shared" si="2"/>
        <v>0</v>
      </c>
      <c r="AB154" s="394" t="str">
        <f>IF(AA154&lt;&gt;0,INDEX(Listes!M:M,MATCH(Surfaces!AA154,Listes!L:L,0)),"")</f>
        <v/>
      </c>
      <c r="AC154" s="383">
        <f>IFERROR(INDEX(Scoring_Arboriculture!H:H,MATCH(Surfaces!Z154,Scoring_Arboriculture!B:B,0)),0)</f>
        <v>0</v>
      </c>
      <c r="AD154" s="383">
        <f>IFERROR(INDEX(Scoring_Arboriculture!I:I,MATCH(Surfaces!Z154,Scoring_Arboriculture!B:B,0)),0)</f>
        <v>0</v>
      </c>
      <c r="AE154" s="383">
        <f>IFERROR(INDEX(Scoring_Arboriculture!J:J,MATCH(Surfaces!Z154,Scoring_Arboriculture!B:B,0)),0)</f>
        <v>0</v>
      </c>
      <c r="AF154" s="383">
        <f>IFERROR(INDEX(Scoring_Arboriculture!K:K,MATCH(Surfaces!Z154,Scoring_Arboriculture!B:B,0)),0)</f>
        <v>0</v>
      </c>
      <c r="AG154" s="6"/>
      <c r="AH154" s="407">
        <f>IFERROR(INDEX(Scoring_Arboriculture!S:S,MATCH(Surfaces!Z154,Scoring_Arboriculture!M:M,0)),0)</f>
        <v>0</v>
      </c>
      <c r="AI154" s="407">
        <f>IFERROR(INDEX(Scoring_Arboriculture!T:T,MATCH(Surfaces!Z154,Scoring_Arboriculture!M:M,0)),0)</f>
        <v>0</v>
      </c>
      <c r="AJ154" s="407">
        <f>IFERROR(INDEX(Scoring_Arboriculture!U:U,MATCH(Surfaces!Z154,Scoring_Arboriculture!M:M,0)),0)</f>
        <v>0</v>
      </c>
      <c r="AK154" s="407">
        <f>IFERROR(INDEX(Scoring_Arboriculture!V:V,MATCH(Surfaces!Z154,Scoring_Arboriculture!M:M,0)),0)</f>
        <v>0</v>
      </c>
      <c r="AL154" s="382"/>
    </row>
    <row r="155" spans="2:38" x14ac:dyDescent="0.25">
      <c r="B155" s="21"/>
      <c r="C155" s="69"/>
      <c r="D155" s="70" t="s">
        <v>205</v>
      </c>
      <c r="E155" s="749"/>
      <c r="F155" s="750"/>
      <c r="G155" s="751"/>
      <c r="H155" s="52"/>
      <c r="I155" s="52"/>
      <c r="J155" s="52"/>
      <c r="K155" s="52"/>
      <c r="L155" s="52"/>
      <c r="M155" s="52"/>
      <c r="N155" s="52"/>
      <c r="O155" s="533"/>
      <c r="P155" s="533"/>
      <c r="Q155" s="533"/>
      <c r="R155" s="6"/>
      <c r="S155" s="59"/>
      <c r="T155" s="22"/>
      <c r="Y155" s="381" t="str">
        <f t="shared" si="3"/>
        <v>0</v>
      </c>
      <c r="Z155" s="6" t="str">
        <f t="shared" si="4"/>
        <v/>
      </c>
      <c r="AA155" s="266">
        <f t="shared" si="2"/>
        <v>0</v>
      </c>
      <c r="AB155" s="394" t="str">
        <f>IF(AA155&lt;&gt;0,INDEX(Listes!M:M,MATCH(Surfaces!AA155,Listes!L:L,0)),"")</f>
        <v/>
      </c>
      <c r="AC155" s="383">
        <f>IFERROR(INDEX(Scoring_Arboriculture!H:H,MATCH(Surfaces!Z155,Scoring_Arboriculture!B:B,0)),0)</f>
        <v>0</v>
      </c>
      <c r="AD155" s="383">
        <f>IFERROR(INDEX(Scoring_Arboriculture!I:I,MATCH(Surfaces!Z155,Scoring_Arboriculture!B:B,0)),0)</f>
        <v>0</v>
      </c>
      <c r="AE155" s="383">
        <f>IFERROR(INDEX(Scoring_Arboriculture!J:J,MATCH(Surfaces!Z155,Scoring_Arboriculture!B:B,0)),0)</f>
        <v>0</v>
      </c>
      <c r="AF155" s="383">
        <f>IFERROR(INDEX(Scoring_Arboriculture!K:K,MATCH(Surfaces!Z155,Scoring_Arboriculture!B:B,0)),0)</f>
        <v>0</v>
      </c>
      <c r="AG155" s="6"/>
      <c r="AH155" s="407">
        <f>IFERROR(INDEX(Scoring_Arboriculture!S:S,MATCH(Surfaces!Z155,Scoring_Arboriculture!M:M,0)),0)</f>
        <v>0</v>
      </c>
      <c r="AI155" s="407">
        <f>IFERROR(INDEX(Scoring_Arboriculture!T:T,MATCH(Surfaces!Z155,Scoring_Arboriculture!M:M,0)),0)</f>
        <v>0</v>
      </c>
      <c r="AJ155" s="407">
        <f>IFERROR(INDEX(Scoring_Arboriculture!U:U,MATCH(Surfaces!Z155,Scoring_Arboriculture!M:M,0)),0)</f>
        <v>0</v>
      </c>
      <c r="AK155" s="407">
        <f>IFERROR(INDEX(Scoring_Arboriculture!V:V,MATCH(Surfaces!Z155,Scoring_Arboriculture!M:M,0)),0)</f>
        <v>0</v>
      </c>
      <c r="AL155" s="382"/>
    </row>
    <row r="156" spans="2:38" x14ac:dyDescent="0.25">
      <c r="B156" s="21"/>
      <c r="C156" s="69"/>
      <c r="D156" s="70" t="s">
        <v>206</v>
      </c>
      <c r="E156" s="749"/>
      <c r="F156" s="750"/>
      <c r="G156" s="751"/>
      <c r="H156" s="52"/>
      <c r="I156" s="52"/>
      <c r="J156" s="52"/>
      <c r="K156" s="52"/>
      <c r="L156" s="52"/>
      <c r="M156" s="52"/>
      <c r="N156" s="52"/>
      <c r="O156" s="533"/>
      <c r="P156" s="533"/>
      <c r="Q156" s="533"/>
      <c r="R156" s="6"/>
      <c r="S156" s="59"/>
      <c r="T156" s="22"/>
      <c r="Y156" s="381" t="str">
        <f t="shared" si="3"/>
        <v>0</v>
      </c>
      <c r="Z156" s="6" t="str">
        <f t="shared" si="4"/>
        <v/>
      </c>
      <c r="AA156" s="266">
        <f t="shared" si="2"/>
        <v>0</v>
      </c>
      <c r="AB156" s="394" t="str">
        <f>IF(AA156&lt;&gt;0,INDEX(Listes!M:M,MATCH(Surfaces!AA156,Listes!L:L,0)),"")</f>
        <v/>
      </c>
      <c r="AC156" s="383">
        <f>IFERROR(INDEX(Scoring_Arboriculture!H:H,MATCH(Surfaces!Z156,Scoring_Arboriculture!B:B,0)),0)</f>
        <v>0</v>
      </c>
      <c r="AD156" s="383">
        <f>IFERROR(INDEX(Scoring_Arboriculture!I:I,MATCH(Surfaces!Z156,Scoring_Arboriculture!B:B,0)),0)</f>
        <v>0</v>
      </c>
      <c r="AE156" s="383">
        <f>IFERROR(INDEX(Scoring_Arboriculture!J:J,MATCH(Surfaces!Z156,Scoring_Arboriculture!B:B,0)),0)</f>
        <v>0</v>
      </c>
      <c r="AF156" s="383">
        <f>IFERROR(INDEX(Scoring_Arboriculture!K:K,MATCH(Surfaces!Z156,Scoring_Arboriculture!B:B,0)),0)</f>
        <v>0</v>
      </c>
      <c r="AG156" s="6"/>
      <c r="AH156" s="407">
        <f>IFERROR(INDEX(Scoring_Arboriculture!S:S,MATCH(Surfaces!Z156,Scoring_Arboriculture!M:M,0)),0)</f>
        <v>0</v>
      </c>
      <c r="AI156" s="407">
        <f>IFERROR(INDEX(Scoring_Arboriculture!T:T,MATCH(Surfaces!Z156,Scoring_Arboriculture!M:M,0)),0)</f>
        <v>0</v>
      </c>
      <c r="AJ156" s="407">
        <f>IFERROR(INDEX(Scoring_Arboriculture!U:U,MATCH(Surfaces!Z156,Scoring_Arboriculture!M:M,0)),0)</f>
        <v>0</v>
      </c>
      <c r="AK156" s="407">
        <f>IFERROR(INDEX(Scoring_Arboriculture!V:V,MATCH(Surfaces!Z156,Scoring_Arboriculture!M:M,0)),0)</f>
        <v>0</v>
      </c>
      <c r="AL156" s="382"/>
    </row>
    <row r="157" spans="2:38" x14ac:dyDescent="0.25">
      <c r="B157" s="21"/>
      <c r="C157" s="69"/>
      <c r="D157" s="70" t="s">
        <v>207</v>
      </c>
      <c r="E157" s="749"/>
      <c r="F157" s="750"/>
      <c r="G157" s="751"/>
      <c r="H157" s="52"/>
      <c r="I157" s="52"/>
      <c r="J157" s="52"/>
      <c r="K157" s="52"/>
      <c r="L157" s="52"/>
      <c r="M157" s="52"/>
      <c r="N157" s="52"/>
      <c r="O157" s="533"/>
      <c r="P157" s="533"/>
      <c r="Q157" s="533"/>
      <c r="R157" s="6"/>
      <c r="S157" s="59"/>
      <c r="T157" s="22"/>
      <c r="Y157" s="381" t="str">
        <f t="shared" si="3"/>
        <v>0</v>
      </c>
      <c r="Z157" s="6" t="str">
        <f t="shared" si="4"/>
        <v/>
      </c>
      <c r="AA157" s="266">
        <f t="shared" si="2"/>
        <v>0</v>
      </c>
      <c r="AB157" s="394" t="str">
        <f>IF(AA157&lt;&gt;0,INDEX(Listes!M:M,MATCH(Surfaces!AA157,Listes!L:L,0)),"")</f>
        <v/>
      </c>
      <c r="AC157" s="383">
        <f>IFERROR(INDEX(Scoring_Arboriculture!H:H,MATCH(Surfaces!Z157,Scoring_Arboriculture!B:B,0)),0)</f>
        <v>0</v>
      </c>
      <c r="AD157" s="383">
        <f>IFERROR(INDEX(Scoring_Arboriculture!I:I,MATCH(Surfaces!Z157,Scoring_Arboriculture!B:B,0)),0)</f>
        <v>0</v>
      </c>
      <c r="AE157" s="383">
        <f>IFERROR(INDEX(Scoring_Arboriculture!J:J,MATCH(Surfaces!Z157,Scoring_Arboriculture!B:B,0)),0)</f>
        <v>0</v>
      </c>
      <c r="AF157" s="383">
        <f>IFERROR(INDEX(Scoring_Arboriculture!K:K,MATCH(Surfaces!Z157,Scoring_Arboriculture!B:B,0)),0)</f>
        <v>0</v>
      </c>
      <c r="AG157" s="6"/>
      <c r="AH157" s="407">
        <f>IFERROR(INDEX(Scoring_Arboriculture!S:S,MATCH(Surfaces!Z157,Scoring_Arboriculture!M:M,0)),0)</f>
        <v>0</v>
      </c>
      <c r="AI157" s="407">
        <f>IFERROR(INDEX(Scoring_Arboriculture!T:T,MATCH(Surfaces!Z157,Scoring_Arboriculture!M:M,0)),0)</f>
        <v>0</v>
      </c>
      <c r="AJ157" s="407">
        <f>IFERROR(INDEX(Scoring_Arboriculture!U:U,MATCH(Surfaces!Z157,Scoring_Arboriculture!M:M,0)),0)</f>
        <v>0</v>
      </c>
      <c r="AK157" s="407">
        <f>IFERROR(INDEX(Scoring_Arboriculture!V:V,MATCH(Surfaces!Z157,Scoring_Arboriculture!M:M,0)),0)</f>
        <v>0</v>
      </c>
      <c r="AL157" s="382"/>
    </row>
    <row r="158" spans="2:38" x14ac:dyDescent="0.25">
      <c r="B158" s="21"/>
      <c r="C158" s="69"/>
      <c r="D158" s="6"/>
      <c r="E158" s="6"/>
      <c r="F158" s="6"/>
      <c r="G158" s="6"/>
      <c r="H158" s="6"/>
      <c r="I158" s="6"/>
      <c r="J158" s="6"/>
      <c r="K158" s="6"/>
      <c r="L158" s="6"/>
      <c r="M158" s="6"/>
      <c r="N158" s="6"/>
      <c r="O158" s="63"/>
      <c r="P158" s="63"/>
      <c r="Q158" s="63"/>
      <c r="R158" s="6"/>
      <c r="S158" s="59"/>
      <c r="T158" s="22"/>
      <c r="Y158" s="381"/>
      <c r="Z158" s="6"/>
      <c r="AA158" s="6"/>
      <c r="AB158" s="6"/>
      <c r="AC158" s="6"/>
      <c r="AD158" s="6"/>
      <c r="AE158" s="6"/>
      <c r="AF158" s="6"/>
      <c r="AG158" s="6"/>
      <c r="AH158" s="6"/>
      <c r="AI158" s="6"/>
      <c r="AJ158" s="6"/>
      <c r="AK158" s="6"/>
      <c r="AL158" s="382"/>
    </row>
    <row r="159" spans="2:38" x14ac:dyDescent="0.25">
      <c r="B159" s="21"/>
      <c r="C159" s="58" t="s">
        <v>131</v>
      </c>
      <c r="D159" s="51"/>
      <c r="E159" s="51"/>
      <c r="F159" s="51"/>
      <c r="G159" s="51"/>
      <c r="H159" s="51"/>
      <c r="I159" s="51"/>
      <c r="J159" s="51"/>
      <c r="K159" s="51"/>
      <c r="L159" s="51"/>
      <c r="M159" s="51"/>
      <c r="N159" s="47"/>
      <c r="O159" s="533"/>
      <c r="P159" s="533"/>
      <c r="Q159" s="533"/>
      <c r="R159" s="6"/>
      <c r="S159" s="59"/>
      <c r="T159" s="22"/>
      <c r="Y159" s="384"/>
      <c r="Z159" s="385"/>
      <c r="AA159" s="385"/>
      <c r="AB159" s="385"/>
      <c r="AC159" s="385"/>
      <c r="AD159" s="385"/>
      <c r="AE159" s="385"/>
      <c r="AF159" s="385"/>
      <c r="AG159" s="385"/>
      <c r="AH159" s="385"/>
      <c r="AI159" s="385"/>
      <c r="AJ159" s="385"/>
      <c r="AK159" s="385"/>
      <c r="AL159" s="386"/>
    </row>
    <row r="160" spans="2:38" x14ac:dyDescent="0.25">
      <c r="B160" s="21"/>
      <c r="C160" s="61"/>
      <c r="D160" s="44"/>
      <c r="E160" s="44"/>
      <c r="F160" s="44"/>
      <c r="G160" s="44"/>
      <c r="H160" s="44"/>
      <c r="I160" s="44"/>
      <c r="J160" s="44"/>
      <c r="K160" s="44"/>
      <c r="L160" s="44"/>
      <c r="M160" s="44"/>
      <c r="N160" s="44"/>
      <c r="O160" s="44"/>
      <c r="P160" s="44"/>
      <c r="Q160" s="44"/>
      <c r="R160" s="44"/>
      <c r="S160" s="62"/>
      <c r="T160" s="22"/>
    </row>
    <row r="161" spans="2:22" x14ac:dyDescent="0.25">
      <c r="B161" s="21"/>
      <c r="C161" s="6"/>
      <c r="D161" s="6"/>
      <c r="E161" s="6"/>
      <c r="F161" s="6"/>
      <c r="G161" s="6"/>
      <c r="H161" s="6"/>
      <c r="I161" s="6"/>
      <c r="J161" s="6"/>
      <c r="K161" s="6"/>
      <c r="L161" s="6"/>
      <c r="M161" s="6"/>
      <c r="N161" s="6"/>
      <c r="O161" s="6"/>
      <c r="P161" s="6"/>
      <c r="Q161" s="6"/>
      <c r="R161" s="6"/>
      <c r="S161" s="6"/>
      <c r="T161" s="22"/>
    </row>
    <row r="162" spans="2:22" x14ac:dyDescent="0.25">
      <c r="B162" s="21"/>
      <c r="C162" s="6"/>
      <c r="D162" s="6"/>
      <c r="E162" s="6"/>
      <c r="F162" s="6"/>
      <c r="G162" s="6"/>
      <c r="H162" s="6"/>
      <c r="I162" s="6"/>
      <c r="J162" s="6"/>
      <c r="L162" s="741" t="s">
        <v>244</v>
      </c>
      <c r="M162" s="741"/>
      <c r="N162" s="6"/>
      <c r="O162" s="79">
        <f>IFERROR(SUM(O77:O122) + SUM(O127:O159),0)</f>
        <v>10</v>
      </c>
      <c r="P162" s="79">
        <f>IFERROR(SUM(P77:P122) + SUM(P127:P159),0)</f>
        <v>0</v>
      </c>
      <c r="Q162" s="79">
        <f>IFERROR(SUM(Q77:Q122) + SUM(Q127:Q159),0)</f>
        <v>0</v>
      </c>
      <c r="R162" s="6"/>
      <c r="S162" s="6"/>
      <c r="T162" s="22"/>
    </row>
    <row r="163" spans="2:22" ht="15.75" thickBot="1" x14ac:dyDescent="0.3">
      <c r="B163" s="24"/>
      <c r="C163" s="71"/>
      <c r="D163" s="25"/>
      <c r="E163" s="25"/>
      <c r="F163" s="25"/>
      <c r="G163" s="25"/>
      <c r="H163" s="25"/>
      <c r="I163" s="25"/>
      <c r="J163" s="25"/>
      <c r="K163" s="25"/>
      <c r="L163" s="25"/>
      <c r="M163" s="25"/>
      <c r="N163" s="25"/>
      <c r="O163" s="25"/>
      <c r="P163" s="25"/>
      <c r="Q163" s="25"/>
      <c r="R163" s="25"/>
      <c r="S163" s="25"/>
      <c r="T163" s="26"/>
    </row>
    <row r="166" spans="2:22" ht="15.75" thickBot="1" x14ac:dyDescent="0.3"/>
    <row r="167" spans="2:22" x14ac:dyDescent="0.25">
      <c r="B167" s="18"/>
      <c r="C167" s="19"/>
      <c r="D167" s="19"/>
      <c r="E167" s="19"/>
      <c r="F167" s="19"/>
      <c r="G167" s="19"/>
      <c r="H167" s="19"/>
      <c r="I167" s="19"/>
      <c r="J167" s="19"/>
      <c r="K167" s="19"/>
      <c r="L167" s="19"/>
      <c r="M167" s="19"/>
      <c r="N167" s="19"/>
      <c r="O167" s="204"/>
      <c r="P167" s="19"/>
      <c r="Q167" s="19"/>
      <c r="R167" s="19"/>
      <c r="S167" s="19"/>
      <c r="T167" s="20"/>
    </row>
    <row r="168" spans="2:22" ht="15" customHeight="1" x14ac:dyDescent="0.25">
      <c r="B168" s="21"/>
      <c r="C168" s="6"/>
      <c r="D168" s="6"/>
      <c r="E168" s="6"/>
      <c r="F168" s="6"/>
      <c r="G168" s="6"/>
      <c r="H168" s="6"/>
      <c r="I168" s="6"/>
      <c r="J168" s="6"/>
      <c r="K168" s="6"/>
      <c r="L168" s="6"/>
      <c r="M168" s="6"/>
      <c r="N168" s="6"/>
      <c r="O168" s="743" t="s">
        <v>730</v>
      </c>
      <c r="P168" s="743"/>
      <c r="Q168" s="743"/>
      <c r="R168" s="6"/>
      <c r="S168" s="6"/>
      <c r="T168" s="22"/>
    </row>
    <row r="169" spans="2:22" x14ac:dyDescent="0.25">
      <c r="B169" s="21"/>
      <c r="C169" s="173" t="s">
        <v>2908</v>
      </c>
      <c r="D169" s="6"/>
      <c r="E169" s="6"/>
      <c r="F169" s="6"/>
      <c r="G169" s="6"/>
      <c r="H169" s="6"/>
      <c r="I169" s="6"/>
      <c r="J169" s="6"/>
      <c r="K169" s="6"/>
      <c r="L169" s="6"/>
      <c r="M169" s="6"/>
      <c r="N169" s="6"/>
      <c r="O169" s="743"/>
      <c r="P169" s="743"/>
      <c r="Q169" s="743"/>
      <c r="R169" s="6"/>
      <c r="S169" s="6"/>
      <c r="T169" s="22"/>
    </row>
    <row r="170" spans="2:22" s="499" customFormat="1" x14ac:dyDescent="0.25">
      <c r="B170" s="21"/>
      <c r="C170" s="105" t="s">
        <v>2524</v>
      </c>
      <c r="D170" s="51"/>
      <c r="E170" s="51"/>
      <c r="F170" s="51"/>
      <c r="G170" s="51"/>
      <c r="H170" s="51"/>
      <c r="I170" s="51"/>
      <c r="J170" s="51"/>
      <c r="K170" s="51"/>
      <c r="L170" s="51"/>
      <c r="M170" s="51"/>
      <c r="N170" s="51"/>
      <c r="O170" s="494" t="str">
        <f>TEXT(cCampagneN,"0000-00")</f>
        <v>N</v>
      </c>
      <c r="P170" s="494" t="str">
        <f>cCampagneN1</f>
        <v>N-1</v>
      </c>
      <c r="Q170" s="494" t="str">
        <f>CCampagneN2</f>
        <v>N-2</v>
      </c>
      <c r="R170" s="6"/>
      <c r="S170" s="6"/>
      <c r="T170" s="22"/>
    </row>
    <row r="171" spans="2:22" x14ac:dyDescent="0.25">
      <c r="B171" s="21"/>
      <c r="D171" s="51" t="s">
        <v>2872</v>
      </c>
      <c r="E171" s="51"/>
      <c r="F171" s="51"/>
      <c r="G171" s="51"/>
      <c r="H171" s="51"/>
      <c r="I171" s="51"/>
      <c r="J171" s="51"/>
      <c r="K171" s="51"/>
      <c r="L171" s="51"/>
      <c r="M171" s="51"/>
      <c r="N171" s="47"/>
      <c r="O171" s="80">
        <f>Surfaces_Horti!N12</f>
        <v>0</v>
      </c>
      <c r="P171" s="80">
        <f>Surfaces_Horti!N49</f>
        <v>0</v>
      </c>
      <c r="Q171" s="80">
        <f>Surfaces_Horti!N86</f>
        <v>0</v>
      </c>
      <c r="R171" s="6"/>
      <c r="S171" s="6"/>
      <c r="T171" s="22"/>
      <c r="V171" s="499"/>
    </row>
    <row r="172" spans="2:22" x14ac:dyDescent="0.25">
      <c r="B172" s="21"/>
      <c r="D172" s="52" t="s">
        <v>395</v>
      </c>
      <c r="E172" s="52"/>
      <c r="F172" s="52"/>
      <c r="G172" s="52"/>
      <c r="H172" s="52"/>
      <c r="I172" s="52"/>
      <c r="J172" s="52"/>
      <c r="K172" s="52"/>
      <c r="L172" s="52"/>
      <c r="M172" s="52"/>
      <c r="N172" s="48"/>
      <c r="O172" s="80">
        <f>Surfaces_Horti!N13</f>
        <v>0</v>
      </c>
      <c r="P172" s="80">
        <f>Surfaces_Horti!N50</f>
        <v>0</v>
      </c>
      <c r="Q172" s="80">
        <f>Surfaces_Horti!N87</f>
        <v>0</v>
      </c>
      <c r="R172" s="6"/>
      <c r="S172" s="6"/>
      <c r="T172" s="22"/>
      <c r="V172" s="499"/>
    </row>
    <row r="173" spans="2:22" x14ac:dyDescent="0.25">
      <c r="B173" s="21"/>
      <c r="D173" s="52" t="s">
        <v>411</v>
      </c>
      <c r="E173" s="52"/>
      <c r="F173" s="52"/>
      <c r="G173" s="52"/>
      <c r="H173" s="52"/>
      <c r="I173" s="52"/>
      <c r="J173" s="52"/>
      <c r="K173" s="52"/>
      <c r="L173" s="52"/>
      <c r="M173" s="52"/>
      <c r="N173" s="48"/>
      <c r="O173" s="80">
        <f>Surfaces_Horti!N14</f>
        <v>0</v>
      </c>
      <c r="P173" s="80">
        <f>Surfaces_Horti!N51</f>
        <v>0</v>
      </c>
      <c r="Q173" s="80">
        <f>Surfaces_Horti!N88</f>
        <v>0</v>
      </c>
      <c r="R173" s="6"/>
      <c r="S173" s="6"/>
      <c r="T173" s="22"/>
      <c r="V173" s="499"/>
    </row>
    <row r="174" spans="2:22" x14ac:dyDescent="0.25">
      <c r="B174" s="21"/>
      <c r="D174" s="52" t="s">
        <v>412</v>
      </c>
      <c r="E174" s="52"/>
      <c r="F174" s="52"/>
      <c r="G174" s="52"/>
      <c r="H174" s="52"/>
      <c r="I174" s="52"/>
      <c r="J174" s="52"/>
      <c r="K174" s="52"/>
      <c r="L174" s="52"/>
      <c r="M174" s="52"/>
      <c r="N174" s="48"/>
      <c r="O174" s="80">
        <f>Surfaces_Horti!N15</f>
        <v>0</v>
      </c>
      <c r="P174" s="80">
        <f>Surfaces_Horti!N52</f>
        <v>0</v>
      </c>
      <c r="Q174" s="80">
        <f>Surfaces_Horti!N89</f>
        <v>0</v>
      </c>
      <c r="R174" s="6"/>
      <c r="S174" s="6"/>
      <c r="T174" s="22"/>
      <c r="V174" s="499"/>
    </row>
    <row r="175" spans="2:22" x14ac:dyDescent="0.25">
      <c r="B175" s="21"/>
      <c r="D175" s="52" t="s">
        <v>2871</v>
      </c>
      <c r="E175" s="52"/>
      <c r="F175" s="52"/>
      <c r="G175" s="52"/>
      <c r="H175" s="52"/>
      <c r="I175" s="52"/>
      <c r="J175" s="52"/>
      <c r="K175" s="52"/>
      <c r="L175" s="52"/>
      <c r="M175" s="52"/>
      <c r="N175" s="48"/>
      <c r="O175" s="80">
        <f>Surfaces_Horti!N16</f>
        <v>0</v>
      </c>
      <c r="P175" s="80">
        <f>Surfaces_Horti!N53</f>
        <v>0</v>
      </c>
      <c r="Q175" s="80">
        <f>Surfaces_Horti!N90</f>
        <v>0</v>
      </c>
      <c r="R175" s="6"/>
      <c r="S175" s="6"/>
      <c r="T175" s="22"/>
      <c r="V175" s="499"/>
    </row>
    <row r="176" spans="2:22" x14ac:dyDescent="0.25">
      <c r="B176" s="21"/>
      <c r="D176" s="52" t="s">
        <v>2875</v>
      </c>
      <c r="E176" s="52"/>
      <c r="F176" s="52"/>
      <c r="G176" s="52"/>
      <c r="H176" s="52"/>
      <c r="I176" s="52"/>
      <c r="J176" s="52"/>
      <c r="K176" s="52"/>
      <c r="L176" s="52"/>
      <c r="M176" s="52"/>
      <c r="N176" s="48"/>
      <c r="O176" s="80">
        <f>Surfaces_Horti!N17</f>
        <v>0</v>
      </c>
      <c r="P176" s="80">
        <f>Surfaces_Horti!N54</f>
        <v>0</v>
      </c>
      <c r="Q176" s="80">
        <f>Surfaces_Horti!N91</f>
        <v>0</v>
      </c>
      <c r="R176" s="6"/>
      <c r="S176" s="6"/>
      <c r="T176" s="22"/>
      <c r="V176" s="499"/>
    </row>
    <row r="177" spans="2:22" x14ac:dyDescent="0.25">
      <c r="B177" s="21"/>
      <c r="D177" s="52" t="s">
        <v>2873</v>
      </c>
      <c r="E177" s="52"/>
      <c r="F177" s="52"/>
      <c r="G177" s="52"/>
      <c r="H177" s="52"/>
      <c r="I177" s="52"/>
      <c r="J177" s="52"/>
      <c r="K177" s="52"/>
      <c r="L177" s="52"/>
      <c r="M177" s="52"/>
      <c r="N177" s="48"/>
      <c r="O177" s="80">
        <f>Surfaces_Horti!N18</f>
        <v>0</v>
      </c>
      <c r="P177" s="80">
        <f>Surfaces_Horti!N55</f>
        <v>0</v>
      </c>
      <c r="Q177" s="80">
        <f>Surfaces_Horti!N92</f>
        <v>0</v>
      </c>
      <c r="R177" s="6"/>
      <c r="S177" s="6"/>
      <c r="T177" s="22"/>
      <c r="V177" s="499"/>
    </row>
    <row r="178" spans="2:22" x14ac:dyDescent="0.25">
      <c r="B178" s="21"/>
      <c r="C178" s="6"/>
      <c r="D178" s="52" t="s">
        <v>2874</v>
      </c>
      <c r="E178" s="52"/>
      <c r="F178" s="52"/>
      <c r="G178" s="52"/>
      <c r="H178" s="52"/>
      <c r="I178" s="52"/>
      <c r="J178" s="52"/>
      <c r="K178" s="52"/>
      <c r="L178" s="52"/>
      <c r="M178" s="52"/>
      <c r="N178" s="48"/>
      <c r="O178" s="80">
        <f>Surfaces_Horti!N19</f>
        <v>0</v>
      </c>
      <c r="P178" s="80">
        <f>Surfaces_Horti!N56</f>
        <v>0</v>
      </c>
      <c r="Q178" s="80">
        <f>Surfaces_Horti!N93</f>
        <v>0</v>
      </c>
      <c r="R178" s="6"/>
      <c r="S178" s="6"/>
      <c r="T178" s="22"/>
      <c r="V178" s="499"/>
    </row>
    <row r="179" spans="2:22" s="499" customFormat="1" x14ac:dyDescent="0.25">
      <c r="B179" s="21"/>
      <c r="C179" s="105" t="s">
        <v>2523</v>
      </c>
      <c r="D179" s="52"/>
      <c r="E179" s="52"/>
      <c r="F179" s="52"/>
      <c r="G179" s="52"/>
      <c r="H179" s="52"/>
      <c r="I179" s="52"/>
      <c r="J179" s="52"/>
      <c r="K179" s="52"/>
      <c r="L179" s="52"/>
      <c r="M179" s="52"/>
      <c r="N179" s="52"/>
      <c r="O179" s="519"/>
      <c r="P179" s="519"/>
      <c r="Q179" s="519"/>
      <c r="R179" s="6"/>
      <c r="S179" s="6"/>
      <c r="T179" s="22"/>
    </row>
    <row r="180" spans="2:22" x14ac:dyDescent="0.25">
      <c r="B180" s="21"/>
      <c r="D180" s="52" t="s">
        <v>407</v>
      </c>
      <c r="E180" s="52"/>
      <c r="F180" s="52"/>
      <c r="G180" s="52"/>
      <c r="H180" s="52"/>
      <c r="I180" s="52"/>
      <c r="J180" s="52"/>
      <c r="K180" s="52"/>
      <c r="L180" s="52"/>
      <c r="M180" s="52"/>
      <c r="N180" s="48"/>
      <c r="O180" s="80">
        <f>Surfaces_Horti!N21</f>
        <v>0</v>
      </c>
      <c r="P180" s="80">
        <f>Surfaces_Horti!N58</f>
        <v>0</v>
      </c>
      <c r="Q180" s="80">
        <f>Surfaces_Horti!N95</f>
        <v>0</v>
      </c>
      <c r="R180" s="6"/>
      <c r="S180" s="6"/>
      <c r="T180" s="22"/>
      <c r="V180" s="499"/>
    </row>
    <row r="181" spans="2:22" x14ac:dyDescent="0.25">
      <c r="B181" s="21"/>
      <c r="D181" s="52" t="s">
        <v>408</v>
      </c>
      <c r="E181" s="52"/>
      <c r="F181" s="52"/>
      <c r="G181" s="52"/>
      <c r="H181" s="52"/>
      <c r="I181" s="52"/>
      <c r="J181" s="52"/>
      <c r="K181" s="52"/>
      <c r="L181" s="52"/>
      <c r="M181" s="52"/>
      <c r="N181" s="48"/>
      <c r="O181" s="80">
        <f>Surfaces_Horti!N22</f>
        <v>0</v>
      </c>
      <c r="P181" s="80">
        <f>Surfaces_Horti!N59</f>
        <v>0</v>
      </c>
      <c r="Q181" s="80">
        <f>Surfaces_Horti!N96</f>
        <v>0</v>
      </c>
      <c r="R181" s="6"/>
      <c r="S181" s="6"/>
      <c r="T181" s="22"/>
      <c r="V181" s="499"/>
    </row>
    <row r="182" spans="2:22" x14ac:dyDescent="0.25">
      <c r="B182" s="21"/>
      <c r="D182" s="52" t="s">
        <v>409</v>
      </c>
      <c r="E182" s="52"/>
      <c r="F182" s="52"/>
      <c r="G182" s="52"/>
      <c r="H182" s="52"/>
      <c r="I182" s="52"/>
      <c r="J182" s="52"/>
      <c r="K182" s="52"/>
      <c r="L182" s="52"/>
      <c r="M182" s="52"/>
      <c r="N182" s="48"/>
      <c r="O182" s="80">
        <f>Surfaces_Horti!N23</f>
        <v>0</v>
      </c>
      <c r="P182" s="80">
        <f>Surfaces_Horti!N60</f>
        <v>0</v>
      </c>
      <c r="Q182" s="80">
        <f>Surfaces_Horti!N97</f>
        <v>0</v>
      </c>
      <c r="R182" s="6"/>
      <c r="S182" s="6"/>
      <c r="T182" s="22"/>
      <c r="V182" s="499"/>
    </row>
    <row r="183" spans="2:22" x14ac:dyDescent="0.25">
      <c r="B183" s="21"/>
      <c r="D183" s="52" t="s">
        <v>395</v>
      </c>
      <c r="E183" s="52"/>
      <c r="F183" s="52"/>
      <c r="G183" s="52"/>
      <c r="H183" s="52"/>
      <c r="I183" s="52"/>
      <c r="J183" s="52"/>
      <c r="K183" s="52"/>
      <c r="L183" s="52"/>
      <c r="M183" s="52"/>
      <c r="N183" s="48"/>
      <c r="O183" s="80">
        <f>Surfaces_Horti!N24</f>
        <v>0</v>
      </c>
      <c r="P183" s="80">
        <f>Surfaces_Horti!N61</f>
        <v>0</v>
      </c>
      <c r="Q183" s="80">
        <f>Surfaces_Horti!N98</f>
        <v>0</v>
      </c>
      <c r="R183" s="6"/>
      <c r="S183" s="6"/>
      <c r="T183" s="22"/>
      <c r="V183" s="499"/>
    </row>
    <row r="184" spans="2:22" x14ac:dyDescent="0.25">
      <c r="B184" s="21"/>
      <c r="D184" s="52" t="s">
        <v>411</v>
      </c>
      <c r="E184" s="52"/>
      <c r="F184" s="52"/>
      <c r="G184" s="52"/>
      <c r="H184" s="52"/>
      <c r="I184" s="52"/>
      <c r="J184" s="52"/>
      <c r="K184" s="52"/>
      <c r="L184" s="52"/>
      <c r="M184" s="52"/>
      <c r="N184" s="48"/>
      <c r="O184" s="80">
        <f>Surfaces_Horti!N25</f>
        <v>0</v>
      </c>
      <c r="P184" s="80">
        <f>Surfaces_Horti!N62</f>
        <v>0</v>
      </c>
      <c r="Q184" s="80">
        <f>Surfaces_Horti!N99</f>
        <v>0</v>
      </c>
      <c r="R184" s="6"/>
      <c r="S184" s="6"/>
      <c r="T184" s="22"/>
      <c r="V184" s="499"/>
    </row>
    <row r="185" spans="2:22" x14ac:dyDescent="0.25">
      <c r="B185" s="21"/>
      <c r="D185" s="52" t="s">
        <v>2871</v>
      </c>
      <c r="E185" s="52"/>
      <c r="F185" s="52"/>
      <c r="G185" s="52"/>
      <c r="H185" s="52"/>
      <c r="I185" s="52"/>
      <c r="J185" s="52"/>
      <c r="K185" s="52"/>
      <c r="L185" s="52"/>
      <c r="M185" s="52"/>
      <c r="N185" s="48"/>
      <c r="O185" s="80">
        <f>Surfaces_Horti!N26</f>
        <v>0</v>
      </c>
      <c r="P185" s="80">
        <f>Surfaces_Horti!N63</f>
        <v>0</v>
      </c>
      <c r="Q185" s="80">
        <f>Surfaces_Horti!N100</f>
        <v>0</v>
      </c>
      <c r="R185" s="6"/>
      <c r="S185" s="6"/>
      <c r="T185" s="22"/>
      <c r="V185" s="499"/>
    </row>
    <row r="186" spans="2:22" x14ac:dyDescent="0.25">
      <c r="B186" s="21"/>
      <c r="D186" s="52" t="s">
        <v>412</v>
      </c>
      <c r="E186" s="52"/>
      <c r="F186" s="52"/>
      <c r="G186" s="52"/>
      <c r="H186" s="52"/>
      <c r="I186" s="52"/>
      <c r="J186" s="52"/>
      <c r="K186" s="52"/>
      <c r="L186" s="52"/>
      <c r="M186" s="52"/>
      <c r="N186" s="48"/>
      <c r="O186" s="80">
        <f>Surfaces_Horti!N27</f>
        <v>0</v>
      </c>
      <c r="P186" s="80">
        <f>Surfaces_Horti!N64</f>
        <v>0</v>
      </c>
      <c r="Q186" s="80">
        <f>Surfaces_Horti!N101</f>
        <v>0</v>
      </c>
      <c r="R186" s="6"/>
      <c r="S186" s="6"/>
      <c r="T186" s="22"/>
      <c r="V186" s="499"/>
    </row>
    <row r="187" spans="2:22" x14ac:dyDescent="0.25">
      <c r="B187" s="21"/>
      <c r="D187" s="52" t="s">
        <v>413</v>
      </c>
      <c r="E187" s="52"/>
      <c r="F187" s="52"/>
      <c r="G187" s="52"/>
      <c r="H187" s="52"/>
      <c r="I187" s="52"/>
      <c r="J187" s="52"/>
      <c r="K187" s="52"/>
      <c r="L187" s="52"/>
      <c r="M187" s="52"/>
      <c r="N187" s="48"/>
      <c r="O187" s="80">
        <f>Surfaces_Horti!N28</f>
        <v>0</v>
      </c>
      <c r="P187" s="80">
        <f>Surfaces_Horti!N65</f>
        <v>0</v>
      </c>
      <c r="Q187" s="80">
        <f>Surfaces_Horti!N102</f>
        <v>0</v>
      </c>
      <c r="R187" s="6"/>
      <c r="S187" s="6"/>
      <c r="T187" s="22"/>
      <c r="V187" s="499"/>
    </row>
    <row r="188" spans="2:22" x14ac:dyDescent="0.25">
      <c r="B188" s="21"/>
      <c r="D188" s="52" t="s">
        <v>414</v>
      </c>
      <c r="E188" s="52"/>
      <c r="F188" s="52"/>
      <c r="G188" s="52"/>
      <c r="H188" s="52"/>
      <c r="I188" s="52"/>
      <c r="J188" s="52"/>
      <c r="K188" s="52"/>
      <c r="L188" s="52"/>
      <c r="M188" s="52"/>
      <c r="N188" s="48"/>
      <c r="O188" s="80">
        <f>Surfaces_Horti!N29</f>
        <v>0</v>
      </c>
      <c r="P188" s="80">
        <f>Surfaces_Horti!N66</f>
        <v>0</v>
      </c>
      <c r="Q188" s="80">
        <f>Surfaces_Horti!N103</f>
        <v>0</v>
      </c>
      <c r="R188" s="6"/>
      <c r="S188" s="6"/>
      <c r="T188" s="22"/>
      <c r="V188" s="499"/>
    </row>
    <row r="189" spans="2:22" x14ac:dyDescent="0.25">
      <c r="B189" s="21"/>
      <c r="D189" s="52" t="s">
        <v>415</v>
      </c>
      <c r="E189" s="52"/>
      <c r="F189" s="52"/>
      <c r="G189" s="52"/>
      <c r="H189" s="52"/>
      <c r="I189" s="52"/>
      <c r="J189" s="52"/>
      <c r="K189" s="52"/>
      <c r="L189" s="52"/>
      <c r="M189" s="52"/>
      <c r="N189" s="48"/>
      <c r="O189" s="80">
        <f>Surfaces_Horti!N30</f>
        <v>0</v>
      </c>
      <c r="P189" s="80">
        <f>Surfaces_Horti!N67</f>
        <v>0</v>
      </c>
      <c r="Q189" s="80">
        <f>Surfaces_Horti!N104</f>
        <v>0</v>
      </c>
      <c r="R189" s="6"/>
      <c r="S189" s="6"/>
      <c r="T189" s="22"/>
      <c r="V189" s="499"/>
    </row>
    <row r="190" spans="2:22" x14ac:dyDescent="0.25">
      <c r="B190" s="21"/>
      <c r="D190" s="52" t="s">
        <v>416</v>
      </c>
      <c r="E190" s="52"/>
      <c r="F190" s="52"/>
      <c r="G190" s="52"/>
      <c r="H190" s="52"/>
      <c r="I190" s="52"/>
      <c r="J190" s="52"/>
      <c r="K190" s="52"/>
      <c r="L190" s="52"/>
      <c r="M190" s="52"/>
      <c r="N190" s="48"/>
      <c r="O190" s="80">
        <f>Surfaces_Horti!N31</f>
        <v>0</v>
      </c>
      <c r="P190" s="80">
        <f>Surfaces_Horti!N68</f>
        <v>0</v>
      </c>
      <c r="Q190" s="80">
        <f>Surfaces_Horti!N105</f>
        <v>0</v>
      </c>
      <c r="R190" s="6"/>
      <c r="S190" s="6"/>
      <c r="T190" s="22"/>
      <c r="V190" s="499"/>
    </row>
    <row r="191" spans="2:22" x14ac:dyDescent="0.25">
      <c r="B191" s="21"/>
      <c r="D191" s="52" t="s">
        <v>417</v>
      </c>
      <c r="E191" s="52"/>
      <c r="F191" s="52"/>
      <c r="G191" s="52"/>
      <c r="H191" s="52"/>
      <c r="I191" s="52"/>
      <c r="J191" s="52"/>
      <c r="K191" s="52"/>
      <c r="L191" s="52"/>
      <c r="M191" s="52"/>
      <c r="N191" s="48"/>
      <c r="O191" s="80">
        <f>Surfaces_Horti!N32</f>
        <v>0</v>
      </c>
      <c r="P191" s="80">
        <f>Surfaces_Horti!N69</f>
        <v>0</v>
      </c>
      <c r="Q191" s="80">
        <f>Surfaces_Horti!N106</f>
        <v>0</v>
      </c>
      <c r="R191" s="6"/>
      <c r="S191" s="6"/>
      <c r="T191" s="22"/>
      <c r="V191" s="499"/>
    </row>
    <row r="192" spans="2:22" x14ac:dyDescent="0.25">
      <c r="B192" s="21"/>
      <c r="D192" s="52" t="s">
        <v>2876</v>
      </c>
      <c r="E192" s="52"/>
      <c r="F192" s="52"/>
      <c r="G192" s="52"/>
      <c r="H192" s="52"/>
      <c r="I192" s="52"/>
      <c r="J192" s="52"/>
      <c r="K192" s="52"/>
      <c r="L192" s="52"/>
      <c r="M192" s="52"/>
      <c r="N192" s="48"/>
      <c r="O192" s="80">
        <f>Surfaces_Horti!N33</f>
        <v>0</v>
      </c>
      <c r="P192" s="80">
        <f>Surfaces_Horti!N70</f>
        <v>0</v>
      </c>
      <c r="Q192" s="80">
        <f>Surfaces_Horti!N107</f>
        <v>0</v>
      </c>
      <c r="R192" s="6"/>
      <c r="S192" s="6"/>
      <c r="T192" s="22"/>
      <c r="V192" s="499"/>
    </row>
    <row r="193" spans="2:20" x14ac:dyDescent="0.25">
      <c r="B193" s="21"/>
      <c r="C193" s="6"/>
      <c r="D193" s="6"/>
      <c r="E193" s="6"/>
      <c r="F193" s="6"/>
      <c r="G193" s="6"/>
      <c r="H193" s="6"/>
      <c r="I193" s="6"/>
      <c r="J193" s="6"/>
      <c r="K193" s="6"/>
      <c r="L193" s="6"/>
      <c r="M193" s="6"/>
      <c r="N193" s="6"/>
      <c r="O193" s="151"/>
      <c r="P193" s="151"/>
      <c r="Q193" s="151"/>
      <c r="R193" s="6"/>
      <c r="S193" s="6"/>
      <c r="T193" s="22"/>
    </row>
    <row r="194" spans="2:20" x14ac:dyDescent="0.25">
      <c r="B194" s="21"/>
      <c r="C194" s="205" t="s">
        <v>2341</v>
      </c>
      <c r="D194" s="181"/>
      <c r="E194" s="181"/>
      <c r="F194" s="181"/>
      <c r="G194" s="181"/>
      <c r="H194" s="181"/>
      <c r="I194" s="181"/>
      <c r="J194" s="181"/>
      <c r="K194" s="181"/>
      <c r="L194" s="181"/>
      <c r="M194" s="181"/>
      <c r="N194" s="206"/>
      <c r="O194" s="80">
        <f>Surfaces_Horti!N41</f>
        <v>0</v>
      </c>
      <c r="P194" s="80">
        <f>Surfaces_Horti!N78</f>
        <v>0</v>
      </c>
      <c r="Q194" s="80">
        <f>Surfaces_Horti!N115</f>
        <v>0</v>
      </c>
      <c r="R194" s="6"/>
      <c r="S194" s="6"/>
      <c r="T194" s="22"/>
    </row>
    <row r="195" spans="2:20" x14ac:dyDescent="0.25">
      <c r="B195" s="21"/>
      <c r="C195" s="207" t="s">
        <v>720</v>
      </c>
      <c r="D195" s="208"/>
      <c r="E195" s="208"/>
      <c r="F195" s="208"/>
      <c r="G195" s="208"/>
      <c r="H195" s="208"/>
      <c r="I195" s="208"/>
      <c r="J195" s="208"/>
      <c r="K195" s="208"/>
      <c r="L195" s="208"/>
      <c r="M195" s="208"/>
      <c r="N195" s="209"/>
      <c r="O195" s="80">
        <f>Surfaces_Horti!N39</f>
        <v>0</v>
      </c>
      <c r="P195" s="80">
        <f>Surfaces_Horti!N76</f>
        <v>0</v>
      </c>
      <c r="Q195" s="80">
        <f>Surfaces_Horti!N113</f>
        <v>0</v>
      </c>
      <c r="R195" s="6"/>
      <c r="S195" s="6"/>
      <c r="T195" s="22"/>
    </row>
    <row r="196" spans="2:20" x14ac:dyDescent="0.25">
      <c r="B196" s="21"/>
      <c r="C196" s="6"/>
      <c r="D196" s="6"/>
      <c r="E196" s="6"/>
      <c r="F196" s="6"/>
      <c r="G196" s="6"/>
      <c r="H196" s="6"/>
      <c r="I196" s="6"/>
      <c r="J196" s="6"/>
      <c r="K196" s="6"/>
      <c r="L196" s="6"/>
      <c r="M196" s="6"/>
      <c r="N196" s="6"/>
      <c r="O196" s="6"/>
      <c r="P196" s="6"/>
      <c r="Q196" s="6"/>
      <c r="R196" s="6"/>
      <c r="S196" s="6"/>
      <c r="T196" s="22"/>
    </row>
    <row r="197" spans="2:20" ht="15.75" thickBot="1" x14ac:dyDescent="0.3">
      <c r="B197" s="24"/>
      <c r="C197" s="25"/>
      <c r="D197" s="25"/>
      <c r="E197" s="25"/>
      <c r="F197" s="25"/>
      <c r="G197" s="25"/>
      <c r="H197" s="25"/>
      <c r="I197" s="25"/>
      <c r="J197" s="25"/>
      <c r="K197" s="25"/>
      <c r="L197" s="25"/>
      <c r="M197" s="25"/>
      <c r="N197" s="25"/>
      <c r="O197" s="25"/>
      <c r="P197" s="25"/>
      <c r="Q197" s="25"/>
      <c r="R197" s="25"/>
      <c r="S197" s="25"/>
      <c r="T197" s="26"/>
    </row>
    <row r="200" spans="2:20" ht="15.75" thickBot="1" x14ac:dyDescent="0.3"/>
    <row r="201" spans="2:20" x14ac:dyDescent="0.25">
      <c r="B201" s="10"/>
      <c r="C201" s="11"/>
      <c r="D201" s="11"/>
      <c r="E201" s="11"/>
      <c r="F201" s="11"/>
      <c r="G201" s="11"/>
      <c r="H201" s="11"/>
      <c r="I201" s="11"/>
      <c r="J201" s="11"/>
      <c r="K201" s="11"/>
      <c r="L201" s="11"/>
      <c r="M201" s="11"/>
      <c r="N201" s="11"/>
      <c r="O201" s="11"/>
      <c r="P201" s="11"/>
      <c r="Q201" s="11"/>
      <c r="R201" s="11"/>
      <c r="S201" s="11"/>
      <c r="T201" s="12"/>
    </row>
    <row r="202" spans="2:20" x14ac:dyDescent="0.25">
      <c r="B202" s="13"/>
      <c r="C202" s="6"/>
      <c r="D202" s="6"/>
      <c r="E202" s="6"/>
      <c r="F202" s="6"/>
      <c r="G202" s="6"/>
      <c r="H202" s="6"/>
      <c r="I202" s="6"/>
      <c r="J202" s="6"/>
      <c r="K202" s="6"/>
      <c r="L202" s="6"/>
      <c r="M202" s="6"/>
      <c r="N202" s="6"/>
      <c r="O202" s="6"/>
      <c r="P202" s="6"/>
      <c r="Q202" s="6"/>
      <c r="R202" s="6"/>
      <c r="S202" s="6"/>
      <c r="T202" s="14"/>
    </row>
    <row r="203" spans="2:20" x14ac:dyDescent="0.25">
      <c r="B203" s="13"/>
      <c r="C203" s="757"/>
      <c r="D203" s="758"/>
      <c r="E203" s="758"/>
      <c r="F203" s="758"/>
      <c r="G203" s="758"/>
      <c r="H203" s="758"/>
      <c r="I203" s="758"/>
      <c r="J203" s="758"/>
      <c r="K203" s="758"/>
      <c r="L203" s="758"/>
      <c r="M203" s="758"/>
      <c r="N203" s="758"/>
      <c r="O203" s="758"/>
      <c r="P203" s="758"/>
      <c r="Q203" s="758"/>
      <c r="R203" s="758"/>
      <c r="S203" s="759"/>
      <c r="T203" s="14"/>
    </row>
    <row r="204" spans="2:20" x14ac:dyDescent="0.25">
      <c r="B204" s="13"/>
      <c r="C204" s="760"/>
      <c r="D204" s="761"/>
      <c r="E204" s="761"/>
      <c r="F204" s="761"/>
      <c r="G204" s="761"/>
      <c r="H204" s="761"/>
      <c r="I204" s="761"/>
      <c r="J204" s="761"/>
      <c r="K204" s="761"/>
      <c r="L204" s="761"/>
      <c r="M204" s="761"/>
      <c r="N204" s="761"/>
      <c r="O204" s="761"/>
      <c r="P204" s="761"/>
      <c r="Q204" s="761"/>
      <c r="R204" s="761"/>
      <c r="S204" s="762"/>
      <c r="T204" s="14"/>
    </row>
    <row r="205" spans="2:20" x14ac:dyDescent="0.25">
      <c r="B205" s="13"/>
      <c r="C205" s="760"/>
      <c r="D205" s="761"/>
      <c r="E205" s="761"/>
      <c r="F205" s="761"/>
      <c r="G205" s="761"/>
      <c r="H205" s="761"/>
      <c r="I205" s="761"/>
      <c r="J205" s="761"/>
      <c r="K205" s="761"/>
      <c r="L205" s="761"/>
      <c r="M205" s="761"/>
      <c r="N205" s="761"/>
      <c r="O205" s="761"/>
      <c r="P205" s="761"/>
      <c r="Q205" s="761"/>
      <c r="R205" s="761"/>
      <c r="S205" s="762"/>
      <c r="T205" s="14"/>
    </row>
    <row r="206" spans="2:20" x14ac:dyDescent="0.25">
      <c r="B206" s="13"/>
      <c r="C206" s="760"/>
      <c r="D206" s="761"/>
      <c r="E206" s="761"/>
      <c r="F206" s="761"/>
      <c r="G206" s="761"/>
      <c r="H206" s="761"/>
      <c r="I206" s="761"/>
      <c r="J206" s="761"/>
      <c r="K206" s="761"/>
      <c r="L206" s="761"/>
      <c r="M206" s="761"/>
      <c r="N206" s="761"/>
      <c r="O206" s="761"/>
      <c r="P206" s="761"/>
      <c r="Q206" s="761"/>
      <c r="R206" s="761"/>
      <c r="S206" s="762"/>
      <c r="T206" s="14"/>
    </row>
    <row r="207" spans="2:20" x14ac:dyDescent="0.25">
      <c r="B207" s="13"/>
      <c r="C207" s="760"/>
      <c r="D207" s="761"/>
      <c r="E207" s="761"/>
      <c r="F207" s="761"/>
      <c r="G207" s="761"/>
      <c r="H207" s="761"/>
      <c r="I207" s="761"/>
      <c r="J207" s="761"/>
      <c r="K207" s="761"/>
      <c r="L207" s="761"/>
      <c r="M207" s="761"/>
      <c r="N207" s="761"/>
      <c r="O207" s="761"/>
      <c r="P207" s="761"/>
      <c r="Q207" s="761"/>
      <c r="R207" s="761"/>
      <c r="S207" s="762"/>
      <c r="T207" s="14"/>
    </row>
    <row r="208" spans="2:20" x14ac:dyDescent="0.25">
      <c r="B208" s="13"/>
      <c r="C208" s="760"/>
      <c r="D208" s="761"/>
      <c r="E208" s="761"/>
      <c r="F208" s="761"/>
      <c r="G208" s="761"/>
      <c r="H208" s="761"/>
      <c r="I208" s="761"/>
      <c r="J208" s="761"/>
      <c r="K208" s="761"/>
      <c r="L208" s="761"/>
      <c r="M208" s="761"/>
      <c r="N208" s="761"/>
      <c r="O208" s="761"/>
      <c r="P208" s="761"/>
      <c r="Q208" s="761"/>
      <c r="R208" s="761"/>
      <c r="S208" s="762"/>
      <c r="T208" s="14"/>
    </row>
    <row r="209" spans="2:20" x14ac:dyDescent="0.25">
      <c r="B209" s="13"/>
      <c r="C209" s="760"/>
      <c r="D209" s="761"/>
      <c r="E209" s="761"/>
      <c r="F209" s="761"/>
      <c r="G209" s="761"/>
      <c r="H209" s="761"/>
      <c r="I209" s="761"/>
      <c r="J209" s="761"/>
      <c r="K209" s="761"/>
      <c r="L209" s="761"/>
      <c r="M209" s="761"/>
      <c r="N209" s="761"/>
      <c r="O209" s="761"/>
      <c r="P209" s="761"/>
      <c r="Q209" s="761"/>
      <c r="R209" s="761"/>
      <c r="S209" s="762"/>
      <c r="T209" s="14"/>
    </row>
    <row r="210" spans="2:20" x14ac:dyDescent="0.25">
      <c r="B210" s="13"/>
      <c r="C210" s="760"/>
      <c r="D210" s="761"/>
      <c r="E210" s="761"/>
      <c r="F210" s="761"/>
      <c r="G210" s="761"/>
      <c r="H210" s="761"/>
      <c r="I210" s="761"/>
      <c r="J210" s="761"/>
      <c r="K210" s="761"/>
      <c r="L210" s="761"/>
      <c r="M210" s="761"/>
      <c r="N210" s="761"/>
      <c r="O210" s="761"/>
      <c r="P210" s="761"/>
      <c r="Q210" s="761"/>
      <c r="R210" s="761"/>
      <c r="S210" s="762"/>
      <c r="T210" s="14"/>
    </row>
    <row r="211" spans="2:20" x14ac:dyDescent="0.25">
      <c r="B211" s="13"/>
      <c r="C211" s="760"/>
      <c r="D211" s="761"/>
      <c r="E211" s="761"/>
      <c r="F211" s="761"/>
      <c r="G211" s="761"/>
      <c r="H211" s="761"/>
      <c r="I211" s="761"/>
      <c r="J211" s="761"/>
      <c r="K211" s="761"/>
      <c r="L211" s="761"/>
      <c r="M211" s="761"/>
      <c r="N211" s="761"/>
      <c r="O211" s="761"/>
      <c r="P211" s="761"/>
      <c r="Q211" s="761"/>
      <c r="R211" s="761"/>
      <c r="S211" s="762"/>
      <c r="T211" s="14"/>
    </row>
    <row r="212" spans="2:20" x14ac:dyDescent="0.25">
      <c r="B212" s="13"/>
      <c r="C212" s="760"/>
      <c r="D212" s="761"/>
      <c r="E212" s="761"/>
      <c r="F212" s="761"/>
      <c r="G212" s="761"/>
      <c r="H212" s="761"/>
      <c r="I212" s="761"/>
      <c r="J212" s="761"/>
      <c r="K212" s="761"/>
      <c r="L212" s="761"/>
      <c r="M212" s="761"/>
      <c r="N212" s="761"/>
      <c r="O212" s="761"/>
      <c r="P212" s="761"/>
      <c r="Q212" s="761"/>
      <c r="R212" s="761"/>
      <c r="S212" s="762"/>
      <c r="T212" s="14"/>
    </row>
    <row r="213" spans="2:20" x14ac:dyDescent="0.25">
      <c r="B213" s="13"/>
      <c r="C213" s="760"/>
      <c r="D213" s="761"/>
      <c r="E213" s="761"/>
      <c r="F213" s="761"/>
      <c r="G213" s="761"/>
      <c r="H213" s="761"/>
      <c r="I213" s="761"/>
      <c r="J213" s="761"/>
      <c r="K213" s="761"/>
      <c r="L213" s="761"/>
      <c r="M213" s="761"/>
      <c r="N213" s="761"/>
      <c r="O213" s="761"/>
      <c r="P213" s="761"/>
      <c r="Q213" s="761"/>
      <c r="R213" s="761"/>
      <c r="S213" s="762"/>
      <c r="T213" s="14"/>
    </row>
    <row r="214" spans="2:20" x14ac:dyDescent="0.25">
      <c r="B214" s="13"/>
      <c r="C214" s="760"/>
      <c r="D214" s="761"/>
      <c r="E214" s="761"/>
      <c r="F214" s="761"/>
      <c r="G214" s="761"/>
      <c r="H214" s="761"/>
      <c r="I214" s="761"/>
      <c r="J214" s="761"/>
      <c r="K214" s="761"/>
      <c r="L214" s="761"/>
      <c r="M214" s="761"/>
      <c r="N214" s="761"/>
      <c r="O214" s="761"/>
      <c r="P214" s="761"/>
      <c r="Q214" s="761"/>
      <c r="R214" s="761"/>
      <c r="S214" s="762"/>
      <c r="T214" s="14"/>
    </row>
    <row r="215" spans="2:20" x14ac:dyDescent="0.25">
      <c r="B215" s="13"/>
      <c r="C215" s="760"/>
      <c r="D215" s="761"/>
      <c r="E215" s="761"/>
      <c r="F215" s="761"/>
      <c r="G215" s="761"/>
      <c r="H215" s="761"/>
      <c r="I215" s="761"/>
      <c r="J215" s="761"/>
      <c r="K215" s="761"/>
      <c r="L215" s="761"/>
      <c r="M215" s="761"/>
      <c r="N215" s="761"/>
      <c r="O215" s="761"/>
      <c r="P215" s="761"/>
      <c r="Q215" s="761"/>
      <c r="R215" s="761"/>
      <c r="S215" s="762"/>
      <c r="T215" s="14"/>
    </row>
    <row r="216" spans="2:20" x14ac:dyDescent="0.25">
      <c r="B216" s="13"/>
      <c r="C216" s="760"/>
      <c r="D216" s="761"/>
      <c r="E216" s="761"/>
      <c r="F216" s="761"/>
      <c r="G216" s="761"/>
      <c r="H216" s="761"/>
      <c r="I216" s="761"/>
      <c r="J216" s="761"/>
      <c r="K216" s="761"/>
      <c r="L216" s="761"/>
      <c r="M216" s="761"/>
      <c r="N216" s="761"/>
      <c r="O216" s="761"/>
      <c r="P216" s="761"/>
      <c r="Q216" s="761"/>
      <c r="R216" s="761"/>
      <c r="S216" s="762"/>
      <c r="T216" s="14"/>
    </row>
    <row r="217" spans="2:20" x14ac:dyDescent="0.25">
      <c r="B217" s="13"/>
      <c r="C217" s="760"/>
      <c r="D217" s="761"/>
      <c r="E217" s="761"/>
      <c r="F217" s="761"/>
      <c r="G217" s="761"/>
      <c r="H217" s="761"/>
      <c r="I217" s="761"/>
      <c r="J217" s="761"/>
      <c r="K217" s="761"/>
      <c r="L217" s="761"/>
      <c r="M217" s="761"/>
      <c r="N217" s="761"/>
      <c r="O217" s="761"/>
      <c r="P217" s="761"/>
      <c r="Q217" s="761"/>
      <c r="R217" s="761"/>
      <c r="S217" s="762"/>
      <c r="T217" s="14"/>
    </row>
    <row r="218" spans="2:20" x14ac:dyDescent="0.25">
      <c r="B218" s="13"/>
      <c r="C218" s="760"/>
      <c r="D218" s="761"/>
      <c r="E218" s="761"/>
      <c r="F218" s="761"/>
      <c r="G218" s="761"/>
      <c r="H218" s="761"/>
      <c r="I218" s="761"/>
      <c r="J218" s="761"/>
      <c r="K218" s="761"/>
      <c r="L218" s="761"/>
      <c r="M218" s="761"/>
      <c r="N218" s="761"/>
      <c r="O218" s="761"/>
      <c r="P218" s="761"/>
      <c r="Q218" s="761"/>
      <c r="R218" s="761"/>
      <c r="S218" s="762"/>
      <c r="T218" s="14"/>
    </row>
    <row r="219" spans="2:20" x14ac:dyDescent="0.25">
      <c r="B219" s="13"/>
      <c r="C219" s="760"/>
      <c r="D219" s="761"/>
      <c r="E219" s="761"/>
      <c r="F219" s="761"/>
      <c r="G219" s="761"/>
      <c r="H219" s="761"/>
      <c r="I219" s="761"/>
      <c r="J219" s="761"/>
      <c r="K219" s="761"/>
      <c r="L219" s="761"/>
      <c r="M219" s="761"/>
      <c r="N219" s="761"/>
      <c r="O219" s="761"/>
      <c r="P219" s="761"/>
      <c r="Q219" s="761"/>
      <c r="R219" s="761"/>
      <c r="S219" s="762"/>
      <c r="T219" s="14"/>
    </row>
    <row r="220" spans="2:20" x14ac:dyDescent="0.25">
      <c r="B220" s="13"/>
      <c r="C220" s="760"/>
      <c r="D220" s="761"/>
      <c r="E220" s="761"/>
      <c r="F220" s="761"/>
      <c r="G220" s="761"/>
      <c r="H220" s="761"/>
      <c r="I220" s="761"/>
      <c r="J220" s="761"/>
      <c r="K220" s="761"/>
      <c r="L220" s="761"/>
      <c r="M220" s="761"/>
      <c r="N220" s="761"/>
      <c r="O220" s="761"/>
      <c r="P220" s="761"/>
      <c r="Q220" s="761"/>
      <c r="R220" s="761"/>
      <c r="S220" s="762"/>
      <c r="T220" s="14"/>
    </row>
    <row r="221" spans="2:20" x14ac:dyDescent="0.25">
      <c r="B221" s="13"/>
      <c r="C221" s="760"/>
      <c r="D221" s="761"/>
      <c r="E221" s="761"/>
      <c r="F221" s="761"/>
      <c r="G221" s="761"/>
      <c r="H221" s="761"/>
      <c r="I221" s="761"/>
      <c r="J221" s="761"/>
      <c r="K221" s="761"/>
      <c r="L221" s="761"/>
      <c r="M221" s="761"/>
      <c r="N221" s="761"/>
      <c r="O221" s="761"/>
      <c r="P221" s="761"/>
      <c r="Q221" s="761"/>
      <c r="R221" s="761"/>
      <c r="S221" s="762"/>
      <c r="T221" s="14"/>
    </row>
    <row r="222" spans="2:20" x14ac:dyDescent="0.25">
      <c r="B222" s="13"/>
      <c r="C222" s="763"/>
      <c r="D222" s="764"/>
      <c r="E222" s="764"/>
      <c r="F222" s="764"/>
      <c r="G222" s="764"/>
      <c r="H222" s="764"/>
      <c r="I222" s="764"/>
      <c r="J222" s="764"/>
      <c r="K222" s="764"/>
      <c r="L222" s="764"/>
      <c r="M222" s="764"/>
      <c r="N222" s="764"/>
      <c r="O222" s="764"/>
      <c r="P222" s="764"/>
      <c r="Q222" s="764"/>
      <c r="R222" s="764"/>
      <c r="S222" s="765"/>
      <c r="T222" s="14"/>
    </row>
    <row r="223" spans="2:20" x14ac:dyDescent="0.25">
      <c r="B223" s="13"/>
      <c r="C223" s="6"/>
      <c r="D223" s="6"/>
      <c r="E223" s="6"/>
      <c r="F223" s="6"/>
      <c r="G223" s="6"/>
      <c r="H223" s="6"/>
      <c r="I223" s="6"/>
      <c r="J223" s="6"/>
      <c r="K223" s="6"/>
      <c r="L223" s="6"/>
      <c r="M223" s="6"/>
      <c r="N223" s="6"/>
      <c r="O223" s="6"/>
      <c r="P223" s="6"/>
      <c r="Q223" s="6"/>
      <c r="R223" s="6"/>
      <c r="S223" s="6"/>
      <c r="T223" s="14"/>
    </row>
    <row r="224" spans="2:20" ht="15.75" thickBot="1" x14ac:dyDescent="0.3">
      <c r="B224" s="15"/>
      <c r="C224" s="16"/>
      <c r="D224" s="16"/>
      <c r="E224" s="16"/>
      <c r="F224" s="16"/>
      <c r="G224" s="16"/>
      <c r="H224" s="16"/>
      <c r="I224" s="16"/>
      <c r="J224" s="16"/>
      <c r="K224" s="16"/>
      <c r="L224" s="16"/>
      <c r="M224" s="16"/>
      <c r="N224" s="16"/>
      <c r="O224" s="16"/>
      <c r="P224" s="16"/>
      <c r="Q224" s="16"/>
      <c r="R224" s="16"/>
      <c r="S224" s="16"/>
      <c r="T224" s="17"/>
    </row>
  </sheetData>
  <sheetProtection algorithmName="SHA-512" hashValue="9Ezfpd36BhJu/Xuznu3pDDmuZlqw8Xa9alWdoDP1i7v/sKgQ8QZdFrvDZQ5Smgjdj1TlwZG5rSDygewkpp5eoA==" saltValue="eZj35CThJXQTfpdRx8D+SA==" spinCount="100000" sheet="1" objects="1" scenarios="1"/>
  <mergeCells count="43">
    <mergeCell ref="C13:S14"/>
    <mergeCell ref="C203:S222"/>
    <mergeCell ref="V1:W1"/>
    <mergeCell ref="C76:M76"/>
    <mergeCell ref="C22:M22"/>
    <mergeCell ref="C26:M26"/>
    <mergeCell ref="C24:M24"/>
    <mergeCell ref="C45:M45"/>
    <mergeCell ref="C50:M50"/>
    <mergeCell ref="C36:M36"/>
    <mergeCell ref="C86:M86"/>
    <mergeCell ref="C93:M93"/>
    <mergeCell ref="C100:M100"/>
    <mergeCell ref="C108:M108"/>
    <mergeCell ref="E148:G148"/>
    <mergeCell ref="E147:G147"/>
    <mergeCell ref="E146:G146"/>
    <mergeCell ref="E153:G153"/>
    <mergeCell ref="E152:G152"/>
    <mergeCell ref="E151:G151"/>
    <mergeCell ref="E150:G150"/>
    <mergeCell ref="E149:G149"/>
    <mergeCell ref="O168:Q169"/>
    <mergeCell ref="C114:M114"/>
    <mergeCell ref="O20:Q20"/>
    <mergeCell ref="O74:Q74"/>
    <mergeCell ref="C131:M131"/>
    <mergeCell ref="C139:M139"/>
    <mergeCell ref="E145:G145"/>
    <mergeCell ref="E144:G144"/>
    <mergeCell ref="C123:R124"/>
    <mergeCell ref="C126:M126"/>
    <mergeCell ref="L162:M162"/>
    <mergeCell ref="E143:G143"/>
    <mergeCell ref="E157:G157"/>
    <mergeCell ref="E156:G156"/>
    <mergeCell ref="E155:G155"/>
    <mergeCell ref="E154:G154"/>
    <mergeCell ref="AJ141:AK141"/>
    <mergeCell ref="AH141:AI141"/>
    <mergeCell ref="AE141:AF141"/>
    <mergeCell ref="AC141:AD141"/>
    <mergeCell ref="AH139:AK139"/>
  </mergeCells>
  <phoneticPr fontId="15" type="noConversion"/>
  <dataValidations count="1">
    <dataValidation type="list" allowBlank="1" showInputMessage="1" showErrorMessage="1" sqref="E143:G157">
      <formula1>lstCultureFruits</formula1>
    </dataValidation>
  </dataValidations>
  <pageMargins left="0.7" right="0.7" top="0.75" bottom="0.75" header="0.3" footer="0.3"/>
  <pageSetup paperSize="9" scale="5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7" tint="0.39997558519241921"/>
  </sheetPr>
  <dimension ref="A1:O214"/>
  <sheetViews>
    <sheetView zoomScale="84" zoomScaleNormal="84" workbookViewId="0">
      <selection activeCell="O8" sqref="O8"/>
    </sheetView>
  </sheetViews>
  <sheetFormatPr baseColWidth="10" defaultRowHeight="15" x14ac:dyDescent="0.25"/>
  <cols>
    <col min="1" max="1" width="55" style="652" customWidth="1"/>
    <col min="2" max="13" width="8.7109375" style="660" customWidth="1"/>
    <col min="14" max="14" width="9.7109375" style="660" customWidth="1"/>
    <col min="15" max="15" width="66.7109375" style="584" customWidth="1"/>
    <col min="16" max="16384" width="11.42578125" style="584"/>
  </cols>
  <sheetData>
    <row r="1" spans="1:15" x14ac:dyDescent="0.25">
      <c r="A1" s="29"/>
      <c r="B1" s="29"/>
      <c r="C1" s="29"/>
      <c r="D1" s="29"/>
      <c r="E1" s="29"/>
      <c r="F1" s="29"/>
      <c r="G1" s="29"/>
      <c r="H1" s="29"/>
      <c r="I1" s="29"/>
      <c r="J1" s="29"/>
      <c r="K1" s="29"/>
      <c r="L1" s="29"/>
      <c r="M1" s="29"/>
      <c r="N1" s="696" t="str">
        <f>Accueil!I6</f>
        <v>Version 1.06</v>
      </c>
      <c r="O1" s="696"/>
    </row>
    <row r="2" spans="1:15" x14ac:dyDescent="0.25">
      <c r="A2" s="29"/>
      <c r="B2" s="29"/>
      <c r="C2" s="29"/>
      <c r="D2" s="29"/>
      <c r="E2" s="29"/>
      <c r="F2" s="29"/>
      <c r="G2" s="29"/>
      <c r="H2" s="29"/>
      <c r="I2" s="29"/>
      <c r="J2" s="29"/>
      <c r="K2" s="29"/>
      <c r="L2" s="29"/>
      <c r="M2" s="29"/>
      <c r="N2" s="29"/>
      <c r="O2" s="29"/>
    </row>
    <row r="3" spans="1:15" x14ac:dyDescent="0.25">
      <c r="A3" s="29"/>
      <c r="B3" s="29"/>
      <c r="C3" s="29"/>
      <c r="D3" s="29"/>
      <c r="E3" s="29"/>
      <c r="F3" s="29"/>
      <c r="G3" s="29"/>
      <c r="H3" s="29"/>
      <c r="I3" s="29"/>
      <c r="J3" s="29"/>
      <c r="K3" s="29"/>
      <c r="L3" s="29"/>
      <c r="M3" s="29"/>
      <c r="N3" s="29"/>
      <c r="O3" s="29"/>
    </row>
    <row r="4" spans="1:15" x14ac:dyDescent="0.25">
      <c r="A4" s="29"/>
      <c r="B4" s="29"/>
      <c r="C4" s="29"/>
      <c r="D4" s="29"/>
      <c r="E4" s="29"/>
      <c r="F4" s="29"/>
      <c r="G4" s="29"/>
      <c r="H4" s="29"/>
      <c r="I4" s="29"/>
      <c r="J4" s="29"/>
      <c r="K4" s="29"/>
      <c r="L4" s="29"/>
      <c r="M4" s="29"/>
      <c r="N4" s="29"/>
      <c r="O4" s="29"/>
    </row>
    <row r="5" spans="1:15" x14ac:dyDescent="0.25">
      <c r="A5" s="29"/>
      <c r="B5" s="29"/>
      <c r="C5" s="29"/>
      <c r="D5" s="29"/>
      <c r="E5" s="29"/>
      <c r="F5" s="29"/>
      <c r="G5" s="29"/>
      <c r="H5" s="29"/>
      <c r="I5" s="29"/>
      <c r="J5" s="29"/>
      <c r="K5" s="29"/>
      <c r="L5" s="29"/>
      <c r="M5" s="29"/>
      <c r="N5" s="29"/>
      <c r="O5" s="29"/>
    </row>
    <row r="6" spans="1:15" x14ac:dyDescent="0.25">
      <c r="B6" s="657"/>
      <c r="C6" s="657"/>
      <c r="D6" s="657"/>
      <c r="E6" s="657"/>
      <c r="F6" s="657"/>
      <c r="G6" s="657"/>
      <c r="H6" s="657"/>
      <c r="I6" s="657"/>
      <c r="J6" s="657"/>
      <c r="K6" s="657"/>
      <c r="L6" s="657"/>
      <c r="M6" s="657"/>
      <c r="N6" s="657"/>
    </row>
    <row r="7" spans="1:15" x14ac:dyDescent="0.25">
      <c r="A7" s="676" t="str">
        <f>("Calcul de l'assolement de la SAU en horticulture - pépinière lors de la campagne évaluée ("&amp;Surfaces!O170&amp;")")</f>
        <v>Calcul de l'assolement de la SAU en horticulture - pépinière lors de la campagne évaluée (N)</v>
      </c>
      <c r="B7" s="677"/>
      <c r="C7" s="677"/>
      <c r="D7" s="677"/>
      <c r="E7" s="677"/>
      <c r="F7" s="677"/>
      <c r="G7" s="677"/>
      <c r="H7" s="677"/>
      <c r="I7" s="678"/>
      <c r="J7" s="677"/>
      <c r="K7" s="677"/>
      <c r="L7" s="677"/>
      <c r="M7" s="677"/>
      <c r="N7" s="677"/>
      <c r="O7" s="677"/>
    </row>
    <row r="8" spans="1:15" x14ac:dyDescent="0.25">
      <c r="A8" s="651" t="str">
        <f>"Saisir la surface cultivée pour chaque plante et la surface non cultivée chaque mois de la campagne "&amp;Surfaces!O170&amp;" (zone B6 à M30)."</f>
        <v>Saisir la surface cultivée pour chaque plante et la surface non cultivée chaque mois de la campagne N (zone B6 à M30).</v>
      </c>
      <c r="B8" s="584"/>
      <c r="C8" s="584"/>
      <c r="D8" s="584"/>
      <c r="E8" s="584"/>
      <c r="F8" s="584"/>
      <c r="G8" s="584"/>
      <c r="H8" s="584"/>
      <c r="I8" s="584"/>
      <c r="J8" s="584"/>
      <c r="K8" s="584"/>
      <c r="L8" s="584"/>
      <c r="M8" s="584"/>
      <c r="N8" s="584"/>
    </row>
    <row r="9" spans="1:15" x14ac:dyDescent="0.25">
      <c r="B9" s="657"/>
      <c r="C9" s="657"/>
      <c r="D9" s="657"/>
      <c r="E9" s="657"/>
      <c r="F9" s="657"/>
      <c r="G9" s="657"/>
      <c r="H9" s="657"/>
      <c r="I9" s="657"/>
      <c r="J9" s="657"/>
      <c r="K9" s="657"/>
      <c r="L9" s="657"/>
      <c r="M9" s="657"/>
      <c r="N9" s="657"/>
    </row>
    <row r="10" spans="1:15" x14ac:dyDescent="0.25">
      <c r="A10" s="653"/>
      <c r="B10" s="661">
        <v>1</v>
      </c>
      <c r="C10" s="661">
        <v>2</v>
      </c>
      <c r="D10" s="661">
        <v>3</v>
      </c>
      <c r="E10" s="661">
        <v>4</v>
      </c>
      <c r="F10" s="661">
        <v>5</v>
      </c>
      <c r="G10" s="661">
        <v>6</v>
      </c>
      <c r="H10" s="661">
        <v>7</v>
      </c>
      <c r="I10" s="661">
        <v>8</v>
      </c>
      <c r="J10" s="661">
        <v>9</v>
      </c>
      <c r="K10" s="661">
        <v>10</v>
      </c>
      <c r="L10" s="661">
        <v>11</v>
      </c>
      <c r="M10" s="661">
        <v>12</v>
      </c>
      <c r="O10" s="658" t="s">
        <v>2892</v>
      </c>
    </row>
    <row r="11" spans="1:15" x14ac:dyDescent="0.25">
      <c r="A11" s="654" t="s">
        <v>2884</v>
      </c>
      <c r="B11" s="650"/>
      <c r="C11" s="650"/>
      <c r="D11" s="650"/>
      <c r="E11" s="650"/>
      <c r="F11" s="650"/>
      <c r="G11" s="650"/>
      <c r="H11" s="650"/>
      <c r="I11" s="650"/>
      <c r="J11" s="650"/>
      <c r="K11" s="650"/>
      <c r="L11" s="650"/>
      <c r="M11" s="650"/>
      <c r="N11" s="649" t="s">
        <v>2886</v>
      </c>
    </row>
    <row r="12" spans="1:15" x14ac:dyDescent="0.25">
      <c r="A12" s="655" t="s">
        <v>2872</v>
      </c>
      <c r="B12" s="534"/>
      <c r="C12" s="534"/>
      <c r="D12" s="534"/>
      <c r="E12" s="534"/>
      <c r="F12" s="534"/>
      <c r="G12" s="534"/>
      <c r="H12" s="534"/>
      <c r="I12" s="534"/>
      <c r="J12" s="534"/>
      <c r="K12" s="534"/>
      <c r="L12" s="534"/>
      <c r="M12" s="534"/>
      <c r="N12" s="80">
        <f>SUM(B12:M12)/12</f>
        <v>0</v>
      </c>
    </row>
    <row r="13" spans="1:15" x14ac:dyDescent="0.25">
      <c r="A13" s="655" t="s">
        <v>395</v>
      </c>
      <c r="B13" s="534"/>
      <c r="C13" s="534"/>
      <c r="D13" s="534"/>
      <c r="E13" s="534"/>
      <c r="F13" s="534"/>
      <c r="G13" s="534"/>
      <c r="H13" s="534"/>
      <c r="I13" s="534"/>
      <c r="J13" s="534"/>
      <c r="K13" s="534"/>
      <c r="L13" s="534"/>
      <c r="M13" s="534"/>
      <c r="N13" s="80">
        <f t="shared" ref="N13:N19" si="0">SUM(B13:M13)/12</f>
        <v>0</v>
      </c>
    </row>
    <row r="14" spans="1:15" x14ac:dyDescent="0.25">
      <c r="A14" s="655" t="s">
        <v>411</v>
      </c>
      <c r="B14" s="534"/>
      <c r="C14" s="534"/>
      <c r="D14" s="534"/>
      <c r="E14" s="534"/>
      <c r="F14" s="534"/>
      <c r="G14" s="534"/>
      <c r="H14" s="534"/>
      <c r="I14" s="534"/>
      <c r="J14" s="534"/>
      <c r="K14" s="534"/>
      <c r="L14" s="534"/>
      <c r="M14" s="534"/>
      <c r="N14" s="80">
        <f t="shared" si="0"/>
        <v>0</v>
      </c>
    </row>
    <row r="15" spans="1:15" x14ac:dyDescent="0.25">
      <c r="A15" s="655" t="s">
        <v>412</v>
      </c>
      <c r="B15" s="534"/>
      <c r="C15" s="534"/>
      <c r="D15" s="534"/>
      <c r="E15" s="534"/>
      <c r="F15" s="534"/>
      <c r="G15" s="534"/>
      <c r="H15" s="534"/>
      <c r="I15" s="534"/>
      <c r="J15" s="534"/>
      <c r="K15" s="534"/>
      <c r="L15" s="534"/>
      <c r="M15" s="534"/>
      <c r="N15" s="80">
        <f t="shared" si="0"/>
        <v>0</v>
      </c>
    </row>
    <row r="16" spans="1:15" x14ac:dyDescent="0.25">
      <c r="A16" s="655" t="s">
        <v>2871</v>
      </c>
      <c r="B16" s="534"/>
      <c r="C16" s="534"/>
      <c r="D16" s="534"/>
      <c r="E16" s="534"/>
      <c r="F16" s="534"/>
      <c r="G16" s="534"/>
      <c r="H16" s="534"/>
      <c r="I16" s="534"/>
      <c r="J16" s="534"/>
      <c r="K16" s="534"/>
      <c r="L16" s="534"/>
      <c r="M16" s="534"/>
      <c r="N16" s="80">
        <f t="shared" si="0"/>
        <v>0</v>
      </c>
    </row>
    <row r="17" spans="1:14" x14ac:dyDescent="0.25">
      <c r="A17" s="655" t="s">
        <v>2875</v>
      </c>
      <c r="B17" s="534"/>
      <c r="C17" s="534"/>
      <c r="D17" s="534"/>
      <c r="E17" s="534"/>
      <c r="F17" s="534"/>
      <c r="G17" s="534"/>
      <c r="H17" s="534"/>
      <c r="I17" s="534"/>
      <c r="J17" s="534"/>
      <c r="K17" s="534"/>
      <c r="L17" s="534"/>
      <c r="M17" s="534"/>
      <c r="N17" s="80">
        <f t="shared" si="0"/>
        <v>0</v>
      </c>
    </row>
    <row r="18" spans="1:14" x14ac:dyDescent="0.25">
      <c r="A18" s="655" t="s">
        <v>2873</v>
      </c>
      <c r="B18" s="534"/>
      <c r="C18" s="534"/>
      <c r="D18" s="534"/>
      <c r="E18" s="534"/>
      <c r="F18" s="534"/>
      <c r="G18" s="534"/>
      <c r="H18" s="534"/>
      <c r="I18" s="534"/>
      <c r="J18" s="534"/>
      <c r="K18" s="534"/>
      <c r="L18" s="534"/>
      <c r="M18" s="534"/>
      <c r="N18" s="80">
        <f t="shared" si="0"/>
        <v>0</v>
      </c>
    </row>
    <row r="19" spans="1:14" x14ac:dyDescent="0.25">
      <c r="A19" s="655" t="s">
        <v>2874</v>
      </c>
      <c r="B19" s="534"/>
      <c r="C19" s="534"/>
      <c r="D19" s="534"/>
      <c r="E19" s="534"/>
      <c r="F19" s="534"/>
      <c r="G19" s="534"/>
      <c r="H19" s="534"/>
      <c r="I19" s="534"/>
      <c r="J19" s="534"/>
      <c r="K19" s="534"/>
      <c r="L19" s="534"/>
      <c r="M19" s="534"/>
      <c r="N19" s="80">
        <f t="shared" si="0"/>
        <v>0</v>
      </c>
    </row>
    <row r="20" spans="1:14" x14ac:dyDescent="0.25">
      <c r="A20" s="654" t="s">
        <v>2885</v>
      </c>
      <c r="B20" s="659"/>
      <c r="C20" s="659"/>
      <c r="D20" s="659"/>
      <c r="E20" s="659"/>
      <c r="F20" s="659"/>
      <c r="G20" s="659"/>
      <c r="H20" s="659"/>
      <c r="I20" s="659"/>
      <c r="J20" s="659"/>
      <c r="K20" s="659"/>
      <c r="L20" s="659"/>
      <c r="M20" s="659"/>
      <c r="N20" s="665"/>
    </row>
    <row r="21" spans="1:14" x14ac:dyDescent="0.25">
      <c r="A21" s="655" t="s">
        <v>407</v>
      </c>
      <c r="B21" s="534"/>
      <c r="C21" s="534"/>
      <c r="D21" s="534"/>
      <c r="E21" s="534"/>
      <c r="F21" s="534"/>
      <c r="G21" s="534"/>
      <c r="H21" s="534"/>
      <c r="I21" s="534"/>
      <c r="J21" s="534"/>
      <c r="K21" s="534"/>
      <c r="L21" s="534"/>
      <c r="M21" s="534"/>
      <c r="N21" s="80">
        <f>SUM(B21:M21)/12</f>
        <v>0</v>
      </c>
    </row>
    <row r="22" spans="1:14" x14ac:dyDescent="0.25">
      <c r="A22" s="655" t="s">
        <v>408</v>
      </c>
      <c r="B22" s="534"/>
      <c r="C22" s="534"/>
      <c r="D22" s="534"/>
      <c r="E22" s="534"/>
      <c r="F22" s="534"/>
      <c r="G22" s="534"/>
      <c r="H22" s="534"/>
      <c r="I22" s="534"/>
      <c r="J22" s="534"/>
      <c r="K22" s="534"/>
      <c r="L22" s="534"/>
      <c r="M22" s="534"/>
      <c r="N22" s="80">
        <f t="shared" ref="N22:N32" si="1">SUM(B22:M22)/12</f>
        <v>0</v>
      </c>
    </row>
    <row r="23" spans="1:14" x14ac:dyDescent="0.25">
      <c r="A23" s="655" t="s">
        <v>409</v>
      </c>
      <c r="B23" s="534"/>
      <c r="C23" s="534"/>
      <c r="D23" s="534"/>
      <c r="E23" s="534"/>
      <c r="F23" s="534"/>
      <c r="G23" s="534"/>
      <c r="H23" s="534"/>
      <c r="I23" s="534"/>
      <c r="J23" s="534"/>
      <c r="K23" s="534"/>
      <c r="L23" s="534"/>
      <c r="M23" s="534"/>
      <c r="N23" s="80">
        <f t="shared" si="1"/>
        <v>0</v>
      </c>
    </row>
    <row r="24" spans="1:14" x14ac:dyDescent="0.25">
      <c r="A24" s="655" t="s">
        <v>395</v>
      </c>
      <c r="B24" s="534"/>
      <c r="C24" s="534"/>
      <c r="D24" s="534"/>
      <c r="E24" s="534"/>
      <c r="F24" s="534"/>
      <c r="G24" s="534"/>
      <c r="H24" s="534"/>
      <c r="I24" s="534"/>
      <c r="J24" s="534"/>
      <c r="K24" s="534"/>
      <c r="L24" s="534"/>
      <c r="M24" s="534"/>
      <c r="N24" s="80">
        <f t="shared" si="1"/>
        <v>0</v>
      </c>
    </row>
    <row r="25" spans="1:14" x14ac:dyDescent="0.25">
      <c r="A25" s="655" t="s">
        <v>411</v>
      </c>
      <c r="B25" s="534"/>
      <c r="C25" s="534"/>
      <c r="D25" s="534"/>
      <c r="E25" s="534"/>
      <c r="F25" s="534"/>
      <c r="G25" s="534"/>
      <c r="H25" s="534"/>
      <c r="I25" s="534"/>
      <c r="J25" s="534"/>
      <c r="K25" s="534"/>
      <c r="L25" s="534"/>
      <c r="M25" s="534"/>
      <c r="N25" s="80">
        <f t="shared" si="1"/>
        <v>0</v>
      </c>
    </row>
    <row r="26" spans="1:14" x14ac:dyDescent="0.25">
      <c r="A26" s="655" t="s">
        <v>2871</v>
      </c>
      <c r="B26" s="534"/>
      <c r="C26" s="534"/>
      <c r="D26" s="534"/>
      <c r="E26" s="534"/>
      <c r="F26" s="534"/>
      <c r="G26" s="534"/>
      <c r="H26" s="534"/>
      <c r="I26" s="534"/>
      <c r="J26" s="534"/>
      <c r="K26" s="534"/>
      <c r="L26" s="534"/>
      <c r="M26" s="534"/>
      <c r="N26" s="80">
        <f t="shared" si="1"/>
        <v>0</v>
      </c>
    </row>
    <row r="27" spans="1:14" x14ac:dyDescent="0.25">
      <c r="A27" s="655" t="s">
        <v>412</v>
      </c>
      <c r="B27" s="534"/>
      <c r="C27" s="534"/>
      <c r="D27" s="534"/>
      <c r="E27" s="534"/>
      <c r="F27" s="534"/>
      <c r="G27" s="534"/>
      <c r="H27" s="534"/>
      <c r="I27" s="534"/>
      <c r="J27" s="534"/>
      <c r="K27" s="534"/>
      <c r="L27" s="534"/>
      <c r="M27" s="534"/>
      <c r="N27" s="80">
        <f t="shared" si="1"/>
        <v>0</v>
      </c>
    </row>
    <row r="28" spans="1:14" x14ac:dyDescent="0.25">
      <c r="A28" s="655" t="s">
        <v>413</v>
      </c>
      <c r="B28" s="534"/>
      <c r="C28" s="534"/>
      <c r="D28" s="534"/>
      <c r="E28" s="534"/>
      <c r="F28" s="534"/>
      <c r="G28" s="534"/>
      <c r="H28" s="534"/>
      <c r="I28" s="534"/>
      <c r="J28" s="534"/>
      <c r="K28" s="534"/>
      <c r="L28" s="534"/>
      <c r="M28" s="534"/>
      <c r="N28" s="80">
        <f t="shared" si="1"/>
        <v>0</v>
      </c>
    </row>
    <row r="29" spans="1:14" x14ac:dyDescent="0.25">
      <c r="A29" s="655" t="s">
        <v>414</v>
      </c>
      <c r="B29" s="534"/>
      <c r="C29" s="534"/>
      <c r="D29" s="534"/>
      <c r="E29" s="534"/>
      <c r="F29" s="534"/>
      <c r="G29" s="534"/>
      <c r="H29" s="534"/>
      <c r="I29" s="534"/>
      <c r="J29" s="534"/>
      <c r="K29" s="534"/>
      <c r="L29" s="534"/>
      <c r="M29" s="534"/>
      <c r="N29" s="80">
        <f t="shared" si="1"/>
        <v>0</v>
      </c>
    </row>
    <row r="30" spans="1:14" x14ac:dyDescent="0.25">
      <c r="A30" s="655" t="s">
        <v>415</v>
      </c>
      <c r="B30" s="534"/>
      <c r="C30" s="534"/>
      <c r="D30" s="534"/>
      <c r="E30" s="534"/>
      <c r="F30" s="534"/>
      <c r="G30" s="534"/>
      <c r="H30" s="534"/>
      <c r="I30" s="534"/>
      <c r="J30" s="534"/>
      <c r="K30" s="534"/>
      <c r="L30" s="534"/>
      <c r="M30" s="534"/>
      <c r="N30" s="80">
        <f t="shared" si="1"/>
        <v>0</v>
      </c>
    </row>
    <row r="31" spans="1:14" x14ac:dyDescent="0.25">
      <c r="A31" s="655" t="s">
        <v>416</v>
      </c>
      <c r="B31" s="534"/>
      <c r="C31" s="534"/>
      <c r="D31" s="534"/>
      <c r="E31" s="534"/>
      <c r="F31" s="534"/>
      <c r="G31" s="534"/>
      <c r="H31" s="534"/>
      <c r="I31" s="534"/>
      <c r="J31" s="534"/>
      <c r="K31" s="534"/>
      <c r="L31" s="534"/>
      <c r="M31" s="534"/>
      <c r="N31" s="80">
        <f t="shared" si="1"/>
        <v>0</v>
      </c>
    </row>
    <row r="32" spans="1:14" x14ac:dyDescent="0.25">
      <c r="A32" s="655" t="s">
        <v>417</v>
      </c>
      <c r="B32" s="534"/>
      <c r="C32" s="534"/>
      <c r="D32" s="534"/>
      <c r="E32" s="534"/>
      <c r="F32" s="534"/>
      <c r="G32" s="534"/>
      <c r="H32" s="534"/>
      <c r="I32" s="534"/>
      <c r="J32" s="534"/>
      <c r="K32" s="534"/>
      <c r="L32" s="534"/>
      <c r="M32" s="534"/>
      <c r="N32" s="80">
        <f t="shared" si="1"/>
        <v>0</v>
      </c>
    </row>
    <row r="33" spans="1:15" x14ac:dyDescent="0.25">
      <c r="A33" s="655" t="s">
        <v>2876</v>
      </c>
      <c r="B33" s="534"/>
      <c r="C33" s="534"/>
      <c r="D33" s="534"/>
      <c r="E33" s="534"/>
      <c r="F33" s="534"/>
      <c r="G33" s="534"/>
      <c r="H33" s="534"/>
      <c r="I33" s="534"/>
      <c r="J33" s="534"/>
      <c r="K33" s="534"/>
      <c r="L33" s="534"/>
      <c r="M33" s="534"/>
      <c r="N33" s="80">
        <f>SUM(B33:M33)/12</f>
        <v>0</v>
      </c>
    </row>
    <row r="34" spans="1:15" x14ac:dyDescent="0.25">
      <c r="A34" s="654" t="s">
        <v>2890</v>
      </c>
      <c r="B34" s="659"/>
      <c r="C34" s="659"/>
      <c r="D34" s="659"/>
      <c r="E34" s="659"/>
      <c r="F34" s="659"/>
      <c r="G34" s="659"/>
      <c r="H34" s="659"/>
      <c r="I34" s="659"/>
      <c r="J34" s="659"/>
      <c r="K34" s="659"/>
      <c r="L34" s="659"/>
      <c r="M34" s="659"/>
    </row>
    <row r="35" spans="1:15" x14ac:dyDescent="0.25">
      <c r="A35" s="655" t="s">
        <v>2901</v>
      </c>
      <c r="B35" s="534"/>
      <c r="C35" s="534"/>
      <c r="D35" s="534"/>
      <c r="E35" s="534"/>
      <c r="F35" s="534"/>
      <c r="G35" s="534"/>
      <c r="H35" s="534"/>
      <c r="I35" s="534"/>
      <c r="J35" s="534"/>
      <c r="K35" s="534"/>
      <c r="L35" s="534"/>
      <c r="M35" s="534"/>
      <c r="N35" s="80">
        <f t="shared" ref="N35:N40" si="2">SUM(B35:M35)/12</f>
        <v>0</v>
      </c>
    </row>
    <row r="36" spans="1:15" x14ac:dyDescent="0.25">
      <c r="A36" s="655" t="s">
        <v>2900</v>
      </c>
      <c r="B36" s="534"/>
      <c r="C36" s="534"/>
      <c r="D36" s="534"/>
      <c r="E36" s="534"/>
      <c r="F36" s="534"/>
      <c r="G36" s="534"/>
      <c r="H36" s="534"/>
      <c r="I36" s="534"/>
      <c r="J36" s="534"/>
      <c r="K36" s="534"/>
      <c r="L36" s="534"/>
      <c r="M36" s="534"/>
      <c r="N36" s="80">
        <f t="shared" si="2"/>
        <v>0</v>
      </c>
    </row>
    <row r="37" spans="1:15" x14ac:dyDescent="0.25">
      <c r="A37" s="656"/>
      <c r="M37" s="665"/>
      <c r="N37" s="769"/>
      <c r="O37" s="769"/>
    </row>
    <row r="38" spans="1:15" x14ac:dyDescent="0.25">
      <c r="A38" s="662" t="s">
        <v>2882</v>
      </c>
      <c r="B38" s="673">
        <f t="shared" ref="B38:M38" si="3">SUM(B12:B33)</f>
        <v>0</v>
      </c>
      <c r="C38" s="673">
        <f t="shared" si="3"/>
        <v>0</v>
      </c>
      <c r="D38" s="673">
        <f t="shared" si="3"/>
        <v>0</v>
      </c>
      <c r="E38" s="673">
        <f t="shared" si="3"/>
        <v>0</v>
      </c>
      <c r="F38" s="673">
        <f t="shared" si="3"/>
        <v>0</v>
      </c>
      <c r="G38" s="673">
        <f t="shared" si="3"/>
        <v>0</v>
      </c>
      <c r="H38" s="673">
        <f t="shared" si="3"/>
        <v>0</v>
      </c>
      <c r="I38" s="673">
        <f t="shared" si="3"/>
        <v>0</v>
      </c>
      <c r="J38" s="673">
        <f t="shared" si="3"/>
        <v>0</v>
      </c>
      <c r="K38" s="673">
        <f t="shared" si="3"/>
        <v>0</v>
      </c>
      <c r="L38" s="673">
        <f t="shared" si="3"/>
        <v>0</v>
      </c>
      <c r="M38" s="673">
        <f t="shared" si="3"/>
        <v>0</v>
      </c>
      <c r="N38" s="673">
        <f t="shared" si="2"/>
        <v>0</v>
      </c>
      <c r="O38" s="672"/>
    </row>
    <row r="39" spans="1:15" ht="45" x14ac:dyDescent="0.25">
      <c r="A39" s="664" t="str">
        <f>("SAU totale en horticulture - pépinière lors de la campagne évaluée ("&amp;Surfaces!O170&amp;")")</f>
        <v>SAU totale en horticulture - pépinière lors de la campagne évaluée (N)</v>
      </c>
      <c r="B39" s="674">
        <f t="shared" ref="B39:M39" si="4">B38+B35</f>
        <v>0</v>
      </c>
      <c r="C39" s="674">
        <f t="shared" si="4"/>
        <v>0</v>
      </c>
      <c r="D39" s="674">
        <f t="shared" si="4"/>
        <v>0</v>
      </c>
      <c r="E39" s="674">
        <f t="shared" si="4"/>
        <v>0</v>
      </c>
      <c r="F39" s="674">
        <f t="shared" si="4"/>
        <v>0</v>
      </c>
      <c r="G39" s="674">
        <f t="shared" si="4"/>
        <v>0</v>
      </c>
      <c r="H39" s="674">
        <f t="shared" si="4"/>
        <v>0</v>
      </c>
      <c r="I39" s="674">
        <f t="shared" si="4"/>
        <v>0</v>
      </c>
      <c r="J39" s="674">
        <f t="shared" si="4"/>
        <v>0</v>
      </c>
      <c r="K39" s="674">
        <f t="shared" si="4"/>
        <v>0</v>
      </c>
      <c r="L39" s="674">
        <f t="shared" si="4"/>
        <v>0</v>
      </c>
      <c r="M39" s="674">
        <f t="shared" si="4"/>
        <v>0</v>
      </c>
      <c r="N39" s="674">
        <f t="shared" ref="N39" si="5">SUM(B39:M39)/12</f>
        <v>0</v>
      </c>
      <c r="O39" s="671" t="s">
        <v>2893</v>
      </c>
    </row>
    <row r="40" spans="1:15" ht="30" x14ac:dyDescent="0.25">
      <c r="A40" s="663" t="s">
        <v>2883</v>
      </c>
      <c r="B40" s="675">
        <f t="shared" ref="B40:M40" si="6">SUM(B12:B16,B18,B21,B23:B27)</f>
        <v>0</v>
      </c>
      <c r="C40" s="675">
        <f t="shared" si="6"/>
        <v>0</v>
      </c>
      <c r="D40" s="675">
        <f t="shared" si="6"/>
        <v>0</v>
      </c>
      <c r="E40" s="675">
        <f t="shared" si="6"/>
        <v>0</v>
      </c>
      <c r="F40" s="675">
        <f t="shared" si="6"/>
        <v>0</v>
      </c>
      <c r="G40" s="675">
        <f t="shared" si="6"/>
        <v>0</v>
      </c>
      <c r="H40" s="675">
        <f t="shared" si="6"/>
        <v>0</v>
      </c>
      <c r="I40" s="675">
        <f t="shared" si="6"/>
        <v>0</v>
      </c>
      <c r="J40" s="675">
        <f t="shared" si="6"/>
        <v>0</v>
      </c>
      <c r="K40" s="675">
        <f t="shared" si="6"/>
        <v>0</v>
      </c>
      <c r="L40" s="675">
        <f t="shared" si="6"/>
        <v>0</v>
      </c>
      <c r="M40" s="675">
        <f t="shared" si="6"/>
        <v>0</v>
      </c>
      <c r="N40" s="675">
        <f t="shared" si="2"/>
        <v>0</v>
      </c>
      <c r="O40" s="658"/>
    </row>
    <row r="41" spans="1:15" ht="45" x14ac:dyDescent="0.25">
      <c r="A41" s="664" t="str">
        <f>("SAU totale en horticulture - pépinière hors sol lors de la campagne évaluée ("&amp;Surfaces!O170&amp;")")</f>
        <v>SAU totale en horticulture - pépinière hors sol lors de la campagne évaluée (N)</v>
      </c>
      <c r="B41" s="674">
        <f t="shared" ref="B41:M41" si="7">B40+B36</f>
        <v>0</v>
      </c>
      <c r="C41" s="674">
        <f t="shared" si="7"/>
        <v>0</v>
      </c>
      <c r="D41" s="674">
        <f t="shared" si="7"/>
        <v>0</v>
      </c>
      <c r="E41" s="674">
        <f t="shared" si="7"/>
        <v>0</v>
      </c>
      <c r="F41" s="674">
        <f t="shared" si="7"/>
        <v>0</v>
      </c>
      <c r="G41" s="674">
        <f t="shared" si="7"/>
        <v>0</v>
      </c>
      <c r="H41" s="674">
        <f t="shared" si="7"/>
        <v>0</v>
      </c>
      <c r="I41" s="674">
        <f t="shared" si="7"/>
        <v>0</v>
      </c>
      <c r="J41" s="674">
        <f t="shared" si="7"/>
        <v>0</v>
      </c>
      <c r="K41" s="674">
        <f t="shared" si="7"/>
        <v>0</v>
      </c>
      <c r="L41" s="674">
        <f t="shared" si="7"/>
        <v>0</v>
      </c>
      <c r="M41" s="674">
        <f t="shared" si="7"/>
        <v>0</v>
      </c>
      <c r="N41" s="674">
        <f t="shared" ref="N41" si="8">SUM(B41:M41)/12</f>
        <v>0</v>
      </c>
      <c r="O41" s="671" t="s">
        <v>2894</v>
      </c>
    </row>
    <row r="42" spans="1:15" x14ac:dyDescent="0.25">
      <c r="A42" s="656"/>
    </row>
    <row r="43" spans="1:15" x14ac:dyDescent="0.25">
      <c r="A43" s="666"/>
    </row>
    <row r="44" spans="1:15" x14ac:dyDescent="0.25">
      <c r="A44" s="676" t="str">
        <f>("Calcul de l'assolement de la SAU en horticulture - pépinière lors de la campagne n-1 ("&amp;Surfaces!P170&amp;")")</f>
        <v>Calcul de l'assolement de la SAU en horticulture - pépinière lors de la campagne n-1 (N-1)</v>
      </c>
      <c r="B44" s="677"/>
      <c r="C44" s="677"/>
      <c r="D44" s="677"/>
      <c r="E44" s="677"/>
      <c r="F44" s="677"/>
      <c r="G44" s="677"/>
      <c r="H44" s="677"/>
      <c r="I44" s="678"/>
      <c r="J44" s="677"/>
      <c r="K44" s="677"/>
      <c r="L44" s="677"/>
      <c r="M44" s="677"/>
      <c r="N44" s="677"/>
      <c r="O44" s="677"/>
    </row>
    <row r="45" spans="1:15" x14ac:dyDescent="0.25">
      <c r="A45" s="651" t="str">
        <f>"Saisir la surface cultivée pour chaque plante et la surface non cultivée chaque mois de la campagne "&amp;Surfaces!P170&amp;" (zone B43 à M67)."</f>
        <v>Saisir la surface cultivée pour chaque plante et la surface non cultivée chaque mois de la campagne N-1 (zone B43 à M67).</v>
      </c>
      <c r="B45" s="584"/>
      <c r="C45" s="584"/>
      <c r="D45" s="584"/>
      <c r="E45" s="584"/>
      <c r="F45" s="584"/>
      <c r="G45" s="584"/>
      <c r="H45" s="584"/>
      <c r="I45" s="584"/>
      <c r="J45" s="584"/>
      <c r="K45" s="584"/>
      <c r="L45" s="584"/>
      <c r="M45" s="584"/>
      <c r="N45" s="584"/>
    </row>
    <row r="46" spans="1:15" x14ac:dyDescent="0.25">
      <c r="B46" s="657"/>
      <c r="C46" s="657"/>
      <c r="D46" s="657"/>
      <c r="E46" s="657"/>
      <c r="F46" s="657"/>
      <c r="G46" s="657"/>
      <c r="H46" s="657"/>
      <c r="I46" s="657"/>
      <c r="J46" s="657"/>
      <c r="K46" s="657"/>
      <c r="L46" s="657"/>
      <c r="M46" s="657"/>
      <c r="N46" s="657"/>
    </row>
    <row r="47" spans="1:15" x14ac:dyDescent="0.25">
      <c r="A47" s="653"/>
      <c r="B47" s="661">
        <v>1</v>
      </c>
      <c r="C47" s="661">
        <v>2</v>
      </c>
      <c r="D47" s="661">
        <v>3</v>
      </c>
      <c r="E47" s="661">
        <v>4</v>
      </c>
      <c r="F47" s="661">
        <v>5</v>
      </c>
      <c r="G47" s="661">
        <v>6</v>
      </c>
      <c r="H47" s="661">
        <v>7</v>
      </c>
      <c r="I47" s="661">
        <v>8</v>
      </c>
      <c r="J47" s="661">
        <v>9</v>
      </c>
      <c r="K47" s="661">
        <v>10</v>
      </c>
      <c r="L47" s="661">
        <v>11</v>
      </c>
      <c r="M47" s="661">
        <v>12</v>
      </c>
      <c r="O47" s="658" t="s">
        <v>2891</v>
      </c>
    </row>
    <row r="48" spans="1:15" x14ac:dyDescent="0.25">
      <c r="A48" s="654" t="s">
        <v>2884</v>
      </c>
      <c r="B48" s="650"/>
      <c r="C48" s="650"/>
      <c r="D48" s="650"/>
      <c r="E48" s="650"/>
      <c r="F48" s="650"/>
      <c r="G48" s="650"/>
      <c r="H48" s="650"/>
      <c r="I48" s="650"/>
      <c r="J48" s="650"/>
      <c r="K48" s="650"/>
      <c r="L48" s="650"/>
      <c r="M48" s="650"/>
      <c r="N48" s="668" t="s">
        <v>2886</v>
      </c>
    </row>
    <row r="49" spans="1:14" x14ac:dyDescent="0.25">
      <c r="A49" s="655" t="s">
        <v>2872</v>
      </c>
      <c r="B49" s="534"/>
      <c r="C49" s="534"/>
      <c r="D49" s="534"/>
      <c r="E49" s="534"/>
      <c r="F49" s="534"/>
      <c r="G49" s="534"/>
      <c r="H49" s="534"/>
      <c r="I49" s="534"/>
      <c r="J49" s="534"/>
      <c r="K49" s="534"/>
      <c r="L49" s="534"/>
      <c r="M49" s="534"/>
      <c r="N49" s="80">
        <f>SUM(B49:M49)/12</f>
        <v>0</v>
      </c>
    </row>
    <row r="50" spans="1:14" x14ac:dyDescent="0.25">
      <c r="A50" s="655" t="s">
        <v>395</v>
      </c>
      <c r="B50" s="534"/>
      <c r="C50" s="534"/>
      <c r="D50" s="534"/>
      <c r="E50" s="534"/>
      <c r="F50" s="534"/>
      <c r="G50" s="534"/>
      <c r="H50" s="534"/>
      <c r="I50" s="534"/>
      <c r="J50" s="534"/>
      <c r="K50" s="534"/>
      <c r="L50" s="534"/>
      <c r="M50" s="534"/>
      <c r="N50" s="80">
        <f t="shared" ref="N50:N56" si="9">SUM(B50:M50)/12</f>
        <v>0</v>
      </c>
    </row>
    <row r="51" spans="1:14" x14ac:dyDescent="0.25">
      <c r="A51" s="655" t="s">
        <v>411</v>
      </c>
      <c r="B51" s="534"/>
      <c r="C51" s="534"/>
      <c r="D51" s="534"/>
      <c r="E51" s="534"/>
      <c r="F51" s="534"/>
      <c r="G51" s="534"/>
      <c r="H51" s="534"/>
      <c r="I51" s="534"/>
      <c r="J51" s="534"/>
      <c r="K51" s="534"/>
      <c r="L51" s="534"/>
      <c r="M51" s="534"/>
      <c r="N51" s="80">
        <f t="shared" si="9"/>
        <v>0</v>
      </c>
    </row>
    <row r="52" spans="1:14" x14ac:dyDescent="0.25">
      <c r="A52" s="655" t="s">
        <v>412</v>
      </c>
      <c r="B52" s="534"/>
      <c r="C52" s="534"/>
      <c r="D52" s="534"/>
      <c r="E52" s="534"/>
      <c r="F52" s="534"/>
      <c r="G52" s="534"/>
      <c r="H52" s="534"/>
      <c r="I52" s="534"/>
      <c r="J52" s="534"/>
      <c r="K52" s="534"/>
      <c r="L52" s="534"/>
      <c r="M52" s="534"/>
      <c r="N52" s="80">
        <f t="shared" si="9"/>
        <v>0</v>
      </c>
    </row>
    <row r="53" spans="1:14" x14ac:dyDescent="0.25">
      <c r="A53" s="655" t="s">
        <v>2871</v>
      </c>
      <c r="B53" s="534"/>
      <c r="C53" s="534"/>
      <c r="D53" s="534"/>
      <c r="E53" s="534"/>
      <c r="F53" s="534"/>
      <c r="G53" s="534"/>
      <c r="H53" s="534"/>
      <c r="I53" s="534"/>
      <c r="J53" s="534"/>
      <c r="K53" s="534"/>
      <c r="L53" s="534"/>
      <c r="M53" s="534"/>
      <c r="N53" s="80">
        <f t="shared" si="9"/>
        <v>0</v>
      </c>
    </row>
    <row r="54" spans="1:14" x14ac:dyDescent="0.25">
      <c r="A54" s="655" t="s">
        <v>2875</v>
      </c>
      <c r="B54" s="534"/>
      <c r="C54" s="534"/>
      <c r="D54" s="534"/>
      <c r="E54" s="534"/>
      <c r="F54" s="534"/>
      <c r="G54" s="534"/>
      <c r="H54" s="534"/>
      <c r="I54" s="534"/>
      <c r="J54" s="534"/>
      <c r="K54" s="534"/>
      <c r="L54" s="534"/>
      <c r="M54" s="534"/>
      <c r="N54" s="80">
        <f t="shared" si="9"/>
        <v>0</v>
      </c>
    </row>
    <row r="55" spans="1:14" x14ac:dyDescent="0.25">
      <c r="A55" s="655" t="s">
        <v>2873</v>
      </c>
      <c r="B55" s="534"/>
      <c r="C55" s="534"/>
      <c r="D55" s="534"/>
      <c r="E55" s="534"/>
      <c r="F55" s="534"/>
      <c r="G55" s="534"/>
      <c r="H55" s="534"/>
      <c r="I55" s="534"/>
      <c r="J55" s="534"/>
      <c r="K55" s="534"/>
      <c r="L55" s="534"/>
      <c r="M55" s="534"/>
      <c r="N55" s="80">
        <f t="shared" si="9"/>
        <v>0</v>
      </c>
    </row>
    <row r="56" spans="1:14" x14ac:dyDescent="0.25">
      <c r="A56" s="655" t="s">
        <v>2874</v>
      </c>
      <c r="B56" s="534"/>
      <c r="C56" s="534"/>
      <c r="D56" s="534"/>
      <c r="E56" s="534"/>
      <c r="F56" s="534"/>
      <c r="G56" s="534"/>
      <c r="H56" s="534"/>
      <c r="I56" s="534"/>
      <c r="J56" s="534"/>
      <c r="K56" s="534"/>
      <c r="L56" s="534"/>
      <c r="M56" s="534"/>
      <c r="N56" s="80">
        <f t="shared" si="9"/>
        <v>0</v>
      </c>
    </row>
    <row r="57" spans="1:14" x14ac:dyDescent="0.25">
      <c r="A57" s="654" t="s">
        <v>2885</v>
      </c>
      <c r="B57" s="659"/>
      <c r="C57" s="659"/>
      <c r="D57" s="659"/>
      <c r="E57" s="659"/>
      <c r="F57" s="659"/>
      <c r="G57" s="659"/>
      <c r="H57" s="659"/>
      <c r="I57" s="659"/>
      <c r="J57" s="659"/>
      <c r="K57" s="659"/>
      <c r="L57" s="659"/>
      <c r="M57" s="659"/>
      <c r="N57" s="665"/>
    </row>
    <row r="58" spans="1:14" x14ac:dyDescent="0.25">
      <c r="A58" s="655" t="s">
        <v>407</v>
      </c>
      <c r="B58" s="534"/>
      <c r="C58" s="534"/>
      <c r="D58" s="534"/>
      <c r="E58" s="534"/>
      <c r="F58" s="534"/>
      <c r="G58" s="534"/>
      <c r="H58" s="534"/>
      <c r="I58" s="534"/>
      <c r="J58" s="534"/>
      <c r="K58" s="534"/>
      <c r="L58" s="534"/>
      <c r="M58" s="534"/>
      <c r="N58" s="80">
        <f>SUM(B58:M58)/12</f>
        <v>0</v>
      </c>
    </row>
    <row r="59" spans="1:14" x14ac:dyDescent="0.25">
      <c r="A59" s="655" t="s">
        <v>408</v>
      </c>
      <c r="B59" s="534"/>
      <c r="C59" s="534"/>
      <c r="D59" s="534"/>
      <c r="E59" s="534"/>
      <c r="F59" s="534"/>
      <c r="G59" s="534"/>
      <c r="H59" s="534"/>
      <c r="I59" s="534"/>
      <c r="J59" s="534"/>
      <c r="K59" s="534"/>
      <c r="L59" s="534"/>
      <c r="M59" s="534"/>
      <c r="N59" s="80">
        <f t="shared" ref="N59:N69" si="10">SUM(B59:M59)/12</f>
        <v>0</v>
      </c>
    </row>
    <row r="60" spans="1:14" x14ac:dyDescent="0.25">
      <c r="A60" s="655" t="s">
        <v>409</v>
      </c>
      <c r="B60" s="534"/>
      <c r="C60" s="534"/>
      <c r="D60" s="534"/>
      <c r="E60" s="534"/>
      <c r="F60" s="534"/>
      <c r="G60" s="534"/>
      <c r="H60" s="534"/>
      <c r="I60" s="534"/>
      <c r="J60" s="534"/>
      <c r="K60" s="534"/>
      <c r="L60" s="534"/>
      <c r="M60" s="534"/>
      <c r="N60" s="80">
        <f t="shared" si="10"/>
        <v>0</v>
      </c>
    </row>
    <row r="61" spans="1:14" x14ac:dyDescent="0.25">
      <c r="A61" s="655" t="s">
        <v>395</v>
      </c>
      <c r="B61" s="534"/>
      <c r="C61" s="534"/>
      <c r="D61" s="534"/>
      <c r="E61" s="534"/>
      <c r="F61" s="534"/>
      <c r="G61" s="534"/>
      <c r="H61" s="534"/>
      <c r="I61" s="534"/>
      <c r="J61" s="534"/>
      <c r="K61" s="534"/>
      <c r="L61" s="534"/>
      <c r="M61" s="534"/>
      <c r="N61" s="80">
        <f t="shared" si="10"/>
        <v>0</v>
      </c>
    </row>
    <row r="62" spans="1:14" x14ac:dyDescent="0.25">
      <c r="A62" s="655" t="s">
        <v>411</v>
      </c>
      <c r="B62" s="534"/>
      <c r="C62" s="534"/>
      <c r="D62" s="534"/>
      <c r="E62" s="534"/>
      <c r="F62" s="534"/>
      <c r="G62" s="534"/>
      <c r="H62" s="534"/>
      <c r="I62" s="534"/>
      <c r="J62" s="534"/>
      <c r="K62" s="534"/>
      <c r="L62" s="534"/>
      <c r="M62" s="534"/>
      <c r="N62" s="80">
        <f t="shared" si="10"/>
        <v>0</v>
      </c>
    </row>
    <row r="63" spans="1:14" x14ac:dyDescent="0.25">
      <c r="A63" s="655" t="s">
        <v>2871</v>
      </c>
      <c r="B63" s="534"/>
      <c r="C63" s="534"/>
      <c r="D63" s="534"/>
      <c r="E63" s="534"/>
      <c r="F63" s="534"/>
      <c r="G63" s="534"/>
      <c r="H63" s="534"/>
      <c r="I63" s="534"/>
      <c r="J63" s="534"/>
      <c r="K63" s="534"/>
      <c r="L63" s="534"/>
      <c r="M63" s="534"/>
      <c r="N63" s="80">
        <f t="shared" si="10"/>
        <v>0</v>
      </c>
    </row>
    <row r="64" spans="1:14" x14ac:dyDescent="0.25">
      <c r="A64" s="655" t="s">
        <v>412</v>
      </c>
      <c r="B64" s="534"/>
      <c r="C64" s="534"/>
      <c r="D64" s="534"/>
      <c r="E64" s="534"/>
      <c r="F64" s="534"/>
      <c r="G64" s="534"/>
      <c r="H64" s="534"/>
      <c r="I64" s="534"/>
      <c r="J64" s="534"/>
      <c r="K64" s="534"/>
      <c r="L64" s="534"/>
      <c r="M64" s="534"/>
      <c r="N64" s="80">
        <f t="shared" si="10"/>
        <v>0</v>
      </c>
    </row>
    <row r="65" spans="1:15" x14ac:dyDescent="0.25">
      <c r="A65" s="655" t="s">
        <v>413</v>
      </c>
      <c r="B65" s="534"/>
      <c r="C65" s="534"/>
      <c r="D65" s="534"/>
      <c r="E65" s="534"/>
      <c r="F65" s="534"/>
      <c r="G65" s="534"/>
      <c r="H65" s="534"/>
      <c r="I65" s="534"/>
      <c r="J65" s="534"/>
      <c r="K65" s="534"/>
      <c r="L65" s="534"/>
      <c r="M65" s="534"/>
      <c r="N65" s="80">
        <f t="shared" si="10"/>
        <v>0</v>
      </c>
    </row>
    <row r="66" spans="1:15" x14ac:dyDescent="0.25">
      <c r="A66" s="655" t="s">
        <v>414</v>
      </c>
      <c r="B66" s="534"/>
      <c r="C66" s="534"/>
      <c r="D66" s="534"/>
      <c r="E66" s="534"/>
      <c r="F66" s="534"/>
      <c r="G66" s="534"/>
      <c r="H66" s="534"/>
      <c r="I66" s="534"/>
      <c r="J66" s="534"/>
      <c r="K66" s="534"/>
      <c r="L66" s="534"/>
      <c r="M66" s="534"/>
      <c r="N66" s="80">
        <f t="shared" si="10"/>
        <v>0</v>
      </c>
    </row>
    <row r="67" spans="1:15" x14ac:dyDescent="0.25">
      <c r="A67" s="655" t="s">
        <v>415</v>
      </c>
      <c r="B67" s="534"/>
      <c r="C67" s="534"/>
      <c r="D67" s="534"/>
      <c r="E67" s="534"/>
      <c r="F67" s="534"/>
      <c r="G67" s="534"/>
      <c r="H67" s="534"/>
      <c r="I67" s="534"/>
      <c r="J67" s="534"/>
      <c r="K67" s="534"/>
      <c r="L67" s="534"/>
      <c r="M67" s="534"/>
      <c r="N67" s="80">
        <f t="shared" si="10"/>
        <v>0</v>
      </c>
    </row>
    <row r="68" spans="1:15" x14ac:dyDescent="0.25">
      <c r="A68" s="655" t="s">
        <v>416</v>
      </c>
      <c r="B68" s="534"/>
      <c r="C68" s="534"/>
      <c r="D68" s="534"/>
      <c r="E68" s="534"/>
      <c r="F68" s="534"/>
      <c r="G68" s="534"/>
      <c r="H68" s="534"/>
      <c r="I68" s="534"/>
      <c r="J68" s="534"/>
      <c r="K68" s="534"/>
      <c r="L68" s="534"/>
      <c r="M68" s="534"/>
      <c r="N68" s="80">
        <f t="shared" si="10"/>
        <v>0</v>
      </c>
    </row>
    <row r="69" spans="1:15" x14ac:dyDescent="0.25">
      <c r="A69" s="655" t="s">
        <v>417</v>
      </c>
      <c r="B69" s="534"/>
      <c r="C69" s="534"/>
      <c r="D69" s="534"/>
      <c r="E69" s="534"/>
      <c r="F69" s="534"/>
      <c r="G69" s="534"/>
      <c r="H69" s="534"/>
      <c r="I69" s="534"/>
      <c r="J69" s="534"/>
      <c r="K69" s="534"/>
      <c r="L69" s="534"/>
      <c r="M69" s="534"/>
      <c r="N69" s="80">
        <f t="shared" si="10"/>
        <v>0</v>
      </c>
    </row>
    <row r="70" spans="1:15" x14ac:dyDescent="0.25">
      <c r="A70" s="655" t="s">
        <v>2876</v>
      </c>
      <c r="B70" s="534"/>
      <c r="C70" s="534"/>
      <c r="D70" s="534"/>
      <c r="E70" s="534"/>
      <c r="F70" s="534"/>
      <c r="G70" s="534"/>
      <c r="H70" s="534"/>
      <c r="I70" s="534"/>
      <c r="J70" s="534"/>
      <c r="K70" s="534"/>
      <c r="L70" s="534"/>
      <c r="M70" s="534"/>
      <c r="N70" s="80">
        <f>SUM(B70:M70)/12</f>
        <v>0</v>
      </c>
    </row>
    <row r="71" spans="1:15" x14ac:dyDescent="0.25">
      <c r="A71" s="654" t="s">
        <v>2890</v>
      </c>
      <c r="B71" s="659"/>
      <c r="C71" s="659"/>
      <c r="D71" s="659"/>
      <c r="E71" s="659"/>
      <c r="F71" s="659"/>
      <c r="G71" s="659"/>
      <c r="H71" s="659"/>
      <c r="I71" s="659"/>
      <c r="J71" s="659"/>
      <c r="K71" s="659"/>
      <c r="L71" s="659"/>
      <c r="M71" s="659"/>
    </row>
    <row r="72" spans="1:15" x14ac:dyDescent="0.25">
      <c r="A72" s="655" t="s">
        <v>2901</v>
      </c>
      <c r="B72" s="534"/>
      <c r="C72" s="534"/>
      <c r="D72" s="534"/>
      <c r="E72" s="534"/>
      <c r="F72" s="534"/>
      <c r="G72" s="534"/>
      <c r="H72" s="534"/>
      <c r="I72" s="534"/>
      <c r="J72" s="534"/>
      <c r="K72" s="534"/>
      <c r="L72" s="534"/>
      <c r="M72" s="534"/>
      <c r="N72" s="80">
        <f t="shared" ref="N72:N73" si="11">SUM(B72:M72)/12</f>
        <v>0</v>
      </c>
    </row>
    <row r="73" spans="1:15" x14ac:dyDescent="0.25">
      <c r="A73" s="655" t="s">
        <v>2900</v>
      </c>
      <c r="B73" s="534"/>
      <c r="C73" s="534"/>
      <c r="D73" s="534"/>
      <c r="E73" s="534"/>
      <c r="F73" s="534"/>
      <c r="G73" s="534"/>
      <c r="H73" s="534"/>
      <c r="I73" s="534"/>
      <c r="J73" s="534"/>
      <c r="K73" s="534"/>
      <c r="L73" s="534"/>
      <c r="M73" s="534"/>
      <c r="N73" s="80">
        <f t="shared" si="11"/>
        <v>0</v>
      </c>
    </row>
    <row r="74" spans="1:15" x14ac:dyDescent="0.25">
      <c r="A74" s="656"/>
      <c r="M74" s="665"/>
      <c r="N74" s="769"/>
      <c r="O74" s="769"/>
    </row>
    <row r="75" spans="1:15" x14ac:dyDescent="0.25">
      <c r="A75" s="662" t="s">
        <v>2882</v>
      </c>
      <c r="B75" s="673">
        <f t="shared" ref="B75:L75" si="12">SUM(B49:B70)</f>
        <v>0</v>
      </c>
      <c r="C75" s="673">
        <f t="shared" si="12"/>
        <v>0</v>
      </c>
      <c r="D75" s="673">
        <f t="shared" si="12"/>
        <v>0</v>
      </c>
      <c r="E75" s="673">
        <f t="shared" si="12"/>
        <v>0</v>
      </c>
      <c r="F75" s="673">
        <f t="shared" si="12"/>
        <v>0</v>
      </c>
      <c r="G75" s="673">
        <f t="shared" si="12"/>
        <v>0</v>
      </c>
      <c r="H75" s="673">
        <f t="shared" si="12"/>
        <v>0</v>
      </c>
      <c r="I75" s="673">
        <f t="shared" si="12"/>
        <v>0</v>
      </c>
      <c r="J75" s="673">
        <f t="shared" si="12"/>
        <v>0</v>
      </c>
      <c r="K75" s="673">
        <f t="shared" si="12"/>
        <v>0</v>
      </c>
      <c r="L75" s="673">
        <f t="shared" si="12"/>
        <v>0</v>
      </c>
      <c r="M75" s="673">
        <f>SUM(M49:M70)</f>
        <v>0</v>
      </c>
      <c r="N75" s="673">
        <f>SUM(B75:M75)/12</f>
        <v>0</v>
      </c>
      <c r="O75" s="672"/>
    </row>
    <row r="76" spans="1:15" ht="45" x14ac:dyDescent="0.25">
      <c r="A76" s="664" t="str">
        <f>("SAU totale en horticulture - pépinière lors de la campagne n-1 ("&amp;Surfaces!P170&amp;")")</f>
        <v>SAU totale en horticulture - pépinière lors de la campagne n-1 (N-1)</v>
      </c>
      <c r="B76" s="674">
        <f>B75+B72</f>
        <v>0</v>
      </c>
      <c r="C76" s="674">
        <f t="shared" ref="C76" si="13">C75+C72</f>
        <v>0</v>
      </c>
      <c r="D76" s="674">
        <f t="shared" ref="D76" si="14">D75+D72</f>
        <v>0</v>
      </c>
      <c r="E76" s="674">
        <f t="shared" ref="E76" si="15">E75+E72</f>
        <v>0</v>
      </c>
      <c r="F76" s="674">
        <f t="shared" ref="F76" si="16">F75+F72</f>
        <v>0</v>
      </c>
      <c r="G76" s="674">
        <f t="shared" ref="G76" si="17">G75+G72</f>
        <v>0</v>
      </c>
      <c r="H76" s="674">
        <f t="shared" ref="H76" si="18">H75+H72</f>
        <v>0</v>
      </c>
      <c r="I76" s="674">
        <f t="shared" ref="I76" si="19">I75+I72</f>
        <v>0</v>
      </c>
      <c r="J76" s="674">
        <f t="shared" ref="J76" si="20">J75+J72</f>
        <v>0</v>
      </c>
      <c r="K76" s="674">
        <f t="shared" ref="K76" si="21">K75+K72</f>
        <v>0</v>
      </c>
      <c r="L76" s="674">
        <f t="shared" ref="L76" si="22">L75+L72</f>
        <v>0</v>
      </c>
      <c r="M76" s="674">
        <f>M75+M72</f>
        <v>0</v>
      </c>
      <c r="N76" s="674">
        <f t="shared" ref="N76" si="23">SUM(B76:M76)/12</f>
        <v>0</v>
      </c>
      <c r="O76" s="671" t="s">
        <v>2893</v>
      </c>
    </row>
    <row r="77" spans="1:15" ht="30" x14ac:dyDescent="0.25">
      <c r="A77" s="670" t="s">
        <v>2883</v>
      </c>
      <c r="B77" s="675">
        <f t="shared" ref="B77:L77" si="24">SUM(B49:B53,B55,B58,B60:B64)</f>
        <v>0</v>
      </c>
      <c r="C77" s="675">
        <f t="shared" si="24"/>
        <v>0</v>
      </c>
      <c r="D77" s="675">
        <f t="shared" si="24"/>
        <v>0</v>
      </c>
      <c r="E77" s="675">
        <f t="shared" si="24"/>
        <v>0</v>
      </c>
      <c r="F77" s="675">
        <f t="shared" si="24"/>
        <v>0</v>
      </c>
      <c r="G77" s="675">
        <f t="shared" si="24"/>
        <v>0</v>
      </c>
      <c r="H77" s="675">
        <f t="shared" si="24"/>
        <v>0</v>
      </c>
      <c r="I77" s="675">
        <f t="shared" si="24"/>
        <v>0</v>
      </c>
      <c r="J77" s="675">
        <f t="shared" si="24"/>
        <v>0</v>
      </c>
      <c r="K77" s="675">
        <f t="shared" si="24"/>
        <v>0</v>
      </c>
      <c r="L77" s="675">
        <f t="shared" si="24"/>
        <v>0</v>
      </c>
      <c r="M77" s="675">
        <f>SUM(M49:M53,M55,M58,M60:M64)</f>
        <v>0</v>
      </c>
      <c r="N77" s="675">
        <f t="shared" ref="N77" si="25">SUM(B77:M77)/12</f>
        <v>0</v>
      </c>
      <c r="O77" s="658"/>
    </row>
    <row r="78" spans="1:15" ht="45" x14ac:dyDescent="0.25">
      <c r="A78" s="664" t="str">
        <f>("SAU totale en horticulture - pépinière hors sol lors de la campagne n-1 ("&amp;Surfaces!P170&amp;")")</f>
        <v>SAU totale en horticulture - pépinière hors sol lors de la campagne n-1 (N-1)</v>
      </c>
      <c r="B78" s="674">
        <f t="shared" ref="B78" si="26">B77+B73</f>
        <v>0</v>
      </c>
      <c r="C78" s="674">
        <f t="shared" ref="C78" si="27">C77+C73</f>
        <v>0</v>
      </c>
      <c r="D78" s="674">
        <f t="shared" ref="D78" si="28">D77+D73</f>
        <v>0</v>
      </c>
      <c r="E78" s="674">
        <f t="shared" ref="E78" si="29">E77+E73</f>
        <v>0</v>
      </c>
      <c r="F78" s="674">
        <f t="shared" ref="F78" si="30">F77+F73</f>
        <v>0</v>
      </c>
      <c r="G78" s="674">
        <f t="shared" ref="G78" si="31">G77+G73</f>
        <v>0</v>
      </c>
      <c r="H78" s="674">
        <f t="shared" ref="H78" si="32">H77+H73</f>
        <v>0</v>
      </c>
      <c r="I78" s="674">
        <f t="shared" ref="I78" si="33">I77+I73</f>
        <v>0</v>
      </c>
      <c r="J78" s="674">
        <f t="shared" ref="J78" si="34">J77+J73</f>
        <v>0</v>
      </c>
      <c r="K78" s="674">
        <f t="shared" ref="K78" si="35">K77+K73</f>
        <v>0</v>
      </c>
      <c r="L78" s="674">
        <f t="shared" ref="L78" si="36">L77+L73</f>
        <v>0</v>
      </c>
      <c r="M78" s="674">
        <f>M77+M73</f>
        <v>0</v>
      </c>
      <c r="N78" s="674">
        <f t="shared" ref="N78" si="37">SUM(B78:M78)/12</f>
        <v>0</v>
      </c>
      <c r="O78" s="671" t="s">
        <v>2894</v>
      </c>
    </row>
    <row r="79" spans="1:15" x14ac:dyDescent="0.25">
      <c r="A79" s="656"/>
    </row>
    <row r="80" spans="1:15" x14ac:dyDescent="0.25">
      <c r="A80" s="656"/>
    </row>
    <row r="81" spans="1:15" x14ac:dyDescent="0.25">
      <c r="A81" s="676" t="str">
        <f>("Calcul de l'assolement de la SAU en horticulture - pépinière lors de la campagne n-2 ("&amp;Surfaces!Q170&amp;")")</f>
        <v>Calcul de l'assolement de la SAU en horticulture - pépinière lors de la campagne n-2 (N-2)</v>
      </c>
      <c r="B81" s="677"/>
      <c r="C81" s="677"/>
      <c r="D81" s="677"/>
      <c r="E81" s="677"/>
      <c r="F81" s="677"/>
      <c r="G81" s="677"/>
      <c r="H81" s="677"/>
      <c r="I81" s="678"/>
      <c r="J81" s="677"/>
      <c r="K81" s="677"/>
      <c r="L81" s="677"/>
      <c r="M81" s="677"/>
      <c r="N81" s="677"/>
      <c r="O81" s="677"/>
    </row>
    <row r="82" spans="1:15" x14ac:dyDescent="0.25">
      <c r="A82" s="651" t="str">
        <f>"Saisir la surface cultivée pour chaque plante et la surface non cultivée chaque mois de la campagne "&amp;Surfaces!Q170&amp;" (zone B80 à M104)."</f>
        <v>Saisir la surface cultivée pour chaque plante et la surface non cultivée chaque mois de la campagne N-2 (zone B80 à M104).</v>
      </c>
      <c r="B82" s="584"/>
      <c r="C82" s="584"/>
      <c r="D82" s="584"/>
      <c r="E82" s="584"/>
      <c r="F82" s="584"/>
      <c r="G82" s="584"/>
      <c r="H82" s="584"/>
      <c r="I82" s="584"/>
      <c r="J82" s="584"/>
      <c r="K82" s="584"/>
      <c r="L82" s="584"/>
      <c r="M82" s="584"/>
      <c r="N82" s="584"/>
    </row>
    <row r="83" spans="1:15" x14ac:dyDescent="0.25">
      <c r="B83" s="657"/>
      <c r="C83" s="657"/>
      <c r="D83" s="657"/>
      <c r="E83" s="657"/>
      <c r="F83" s="657"/>
      <c r="G83" s="657"/>
      <c r="H83" s="657"/>
      <c r="I83" s="657"/>
      <c r="J83" s="657"/>
      <c r="K83" s="657"/>
      <c r="L83" s="657"/>
      <c r="M83" s="657"/>
      <c r="N83" s="657"/>
    </row>
    <row r="84" spans="1:15" x14ac:dyDescent="0.25">
      <c r="A84" s="653"/>
      <c r="B84" s="661">
        <v>1</v>
      </c>
      <c r="C84" s="661">
        <v>2</v>
      </c>
      <c r="D84" s="661">
        <v>3</v>
      </c>
      <c r="E84" s="661">
        <v>4</v>
      </c>
      <c r="F84" s="661">
        <v>5</v>
      </c>
      <c r="G84" s="661">
        <v>6</v>
      </c>
      <c r="H84" s="661">
        <v>7</v>
      </c>
      <c r="I84" s="661">
        <v>8</v>
      </c>
      <c r="J84" s="661">
        <v>9</v>
      </c>
      <c r="K84" s="661">
        <v>10</v>
      </c>
      <c r="L84" s="661">
        <v>11</v>
      </c>
      <c r="M84" s="661">
        <v>12</v>
      </c>
      <c r="O84" s="658" t="s">
        <v>2891</v>
      </c>
    </row>
    <row r="85" spans="1:15" x14ac:dyDescent="0.25">
      <c r="A85" s="654" t="s">
        <v>2884</v>
      </c>
      <c r="B85" s="650"/>
      <c r="C85" s="650"/>
      <c r="D85" s="650"/>
      <c r="E85" s="650"/>
      <c r="F85" s="650"/>
      <c r="G85" s="650"/>
      <c r="H85" s="650"/>
      <c r="I85" s="650"/>
      <c r="J85" s="650"/>
      <c r="K85" s="650"/>
      <c r="L85" s="650"/>
      <c r="M85" s="650"/>
      <c r="N85" s="668" t="s">
        <v>2886</v>
      </c>
    </row>
    <row r="86" spans="1:15" x14ac:dyDescent="0.25">
      <c r="A86" s="655" t="s">
        <v>2872</v>
      </c>
      <c r="B86" s="534"/>
      <c r="C86" s="534"/>
      <c r="D86" s="534"/>
      <c r="E86" s="534"/>
      <c r="F86" s="534"/>
      <c r="G86" s="534"/>
      <c r="H86" s="534"/>
      <c r="I86" s="534"/>
      <c r="J86" s="534"/>
      <c r="K86" s="534"/>
      <c r="L86" s="534"/>
      <c r="M86" s="534"/>
      <c r="N86" s="80">
        <f>SUM(B86:M86)/12</f>
        <v>0</v>
      </c>
    </row>
    <row r="87" spans="1:15" x14ac:dyDescent="0.25">
      <c r="A87" s="655" t="s">
        <v>395</v>
      </c>
      <c r="B87" s="534"/>
      <c r="C87" s="534"/>
      <c r="D87" s="534"/>
      <c r="E87" s="534"/>
      <c r="F87" s="534"/>
      <c r="G87" s="534"/>
      <c r="H87" s="534"/>
      <c r="I87" s="534"/>
      <c r="J87" s="534"/>
      <c r="K87" s="534"/>
      <c r="L87" s="534"/>
      <c r="M87" s="534"/>
      <c r="N87" s="80">
        <f t="shared" ref="N87:N93" si="38">SUM(B87:M87)/12</f>
        <v>0</v>
      </c>
    </row>
    <row r="88" spans="1:15" x14ac:dyDescent="0.25">
      <c r="A88" s="655" t="s">
        <v>411</v>
      </c>
      <c r="B88" s="534"/>
      <c r="C88" s="534"/>
      <c r="D88" s="534"/>
      <c r="E88" s="534"/>
      <c r="F88" s="534"/>
      <c r="G88" s="534"/>
      <c r="H88" s="534"/>
      <c r="I88" s="534"/>
      <c r="J88" s="534"/>
      <c r="K88" s="534"/>
      <c r="L88" s="534"/>
      <c r="M88" s="534"/>
      <c r="N88" s="80">
        <f t="shared" si="38"/>
        <v>0</v>
      </c>
    </row>
    <row r="89" spans="1:15" x14ac:dyDescent="0.25">
      <c r="A89" s="655" t="s">
        <v>412</v>
      </c>
      <c r="B89" s="534"/>
      <c r="C89" s="534"/>
      <c r="D89" s="534"/>
      <c r="E89" s="534"/>
      <c r="F89" s="534"/>
      <c r="G89" s="534"/>
      <c r="H89" s="534"/>
      <c r="I89" s="534"/>
      <c r="J89" s="534"/>
      <c r="K89" s="534"/>
      <c r="L89" s="534"/>
      <c r="M89" s="534"/>
      <c r="N89" s="80">
        <f t="shared" si="38"/>
        <v>0</v>
      </c>
    </row>
    <row r="90" spans="1:15" x14ac:dyDescent="0.25">
      <c r="A90" s="655" t="s">
        <v>2871</v>
      </c>
      <c r="B90" s="534"/>
      <c r="C90" s="534"/>
      <c r="D90" s="534"/>
      <c r="E90" s="534"/>
      <c r="F90" s="534"/>
      <c r="G90" s="534"/>
      <c r="H90" s="534"/>
      <c r="I90" s="534"/>
      <c r="J90" s="534"/>
      <c r="K90" s="534"/>
      <c r="L90" s="534"/>
      <c r="M90" s="534"/>
      <c r="N90" s="80">
        <f t="shared" si="38"/>
        <v>0</v>
      </c>
    </row>
    <row r="91" spans="1:15" x14ac:dyDescent="0.25">
      <c r="A91" s="655" t="s">
        <v>2875</v>
      </c>
      <c r="B91" s="534"/>
      <c r="C91" s="534"/>
      <c r="D91" s="534"/>
      <c r="E91" s="534"/>
      <c r="F91" s="534"/>
      <c r="G91" s="534"/>
      <c r="H91" s="534"/>
      <c r="I91" s="534"/>
      <c r="J91" s="534"/>
      <c r="K91" s="534"/>
      <c r="L91" s="534"/>
      <c r="M91" s="534"/>
      <c r="N91" s="80">
        <f t="shared" si="38"/>
        <v>0</v>
      </c>
    </row>
    <row r="92" spans="1:15" x14ac:dyDescent="0.25">
      <c r="A92" s="655" t="s">
        <v>2873</v>
      </c>
      <c r="B92" s="534"/>
      <c r="C92" s="534"/>
      <c r="D92" s="534"/>
      <c r="E92" s="534"/>
      <c r="F92" s="534"/>
      <c r="G92" s="534"/>
      <c r="H92" s="534"/>
      <c r="I92" s="534"/>
      <c r="J92" s="534"/>
      <c r="K92" s="534"/>
      <c r="L92" s="534"/>
      <c r="M92" s="534"/>
      <c r="N92" s="80">
        <f t="shared" si="38"/>
        <v>0</v>
      </c>
    </row>
    <row r="93" spans="1:15" x14ac:dyDescent="0.25">
      <c r="A93" s="655" t="s">
        <v>2874</v>
      </c>
      <c r="B93" s="534"/>
      <c r="C93" s="534"/>
      <c r="D93" s="534"/>
      <c r="E93" s="534"/>
      <c r="F93" s="534"/>
      <c r="G93" s="534"/>
      <c r="H93" s="534"/>
      <c r="I93" s="534"/>
      <c r="J93" s="534"/>
      <c r="K93" s="534"/>
      <c r="L93" s="534"/>
      <c r="M93" s="534"/>
      <c r="N93" s="80">
        <f t="shared" si="38"/>
        <v>0</v>
      </c>
    </row>
    <row r="94" spans="1:15" x14ac:dyDescent="0.25">
      <c r="A94" s="654" t="s">
        <v>2885</v>
      </c>
      <c r="B94" s="659"/>
      <c r="C94" s="659"/>
      <c r="D94" s="659"/>
      <c r="E94" s="659"/>
      <c r="F94" s="659"/>
      <c r="G94" s="659"/>
      <c r="H94" s="659"/>
      <c r="I94" s="659"/>
      <c r="J94" s="659"/>
      <c r="K94" s="659"/>
      <c r="L94" s="659"/>
      <c r="M94" s="659"/>
      <c r="N94" s="665"/>
    </row>
    <row r="95" spans="1:15" x14ac:dyDescent="0.25">
      <c r="A95" s="655" t="s">
        <v>407</v>
      </c>
      <c r="B95" s="534"/>
      <c r="C95" s="534"/>
      <c r="D95" s="534"/>
      <c r="E95" s="534"/>
      <c r="F95" s="534"/>
      <c r="G95" s="534"/>
      <c r="H95" s="534"/>
      <c r="I95" s="534"/>
      <c r="J95" s="534"/>
      <c r="K95" s="534"/>
      <c r="L95" s="534"/>
      <c r="M95" s="534"/>
      <c r="N95" s="80">
        <f>SUM(B95:M95)/12</f>
        <v>0</v>
      </c>
    </row>
    <row r="96" spans="1:15" x14ac:dyDescent="0.25">
      <c r="A96" s="655" t="s">
        <v>408</v>
      </c>
      <c r="B96" s="534"/>
      <c r="C96" s="534"/>
      <c r="D96" s="534"/>
      <c r="E96" s="534"/>
      <c r="F96" s="534"/>
      <c r="G96" s="534"/>
      <c r="H96" s="534"/>
      <c r="I96" s="534"/>
      <c r="J96" s="534"/>
      <c r="K96" s="534"/>
      <c r="L96" s="534"/>
      <c r="M96" s="534"/>
      <c r="N96" s="80">
        <f t="shared" ref="N96:N106" si="39">SUM(B96:M96)/12</f>
        <v>0</v>
      </c>
    </row>
    <row r="97" spans="1:15" x14ac:dyDescent="0.25">
      <c r="A97" s="655" t="s">
        <v>409</v>
      </c>
      <c r="B97" s="534"/>
      <c r="C97" s="534"/>
      <c r="D97" s="534"/>
      <c r="E97" s="534"/>
      <c r="F97" s="534"/>
      <c r="G97" s="534"/>
      <c r="H97" s="534"/>
      <c r="I97" s="534"/>
      <c r="J97" s="534"/>
      <c r="K97" s="534"/>
      <c r="L97" s="534"/>
      <c r="M97" s="534"/>
      <c r="N97" s="80">
        <f t="shared" si="39"/>
        <v>0</v>
      </c>
    </row>
    <row r="98" spans="1:15" x14ac:dyDescent="0.25">
      <c r="A98" s="655" t="s">
        <v>395</v>
      </c>
      <c r="B98" s="534"/>
      <c r="C98" s="534"/>
      <c r="D98" s="534"/>
      <c r="E98" s="534"/>
      <c r="F98" s="534"/>
      <c r="G98" s="534"/>
      <c r="H98" s="534"/>
      <c r="I98" s="534"/>
      <c r="J98" s="534"/>
      <c r="K98" s="534"/>
      <c r="L98" s="534"/>
      <c r="M98" s="534"/>
      <c r="N98" s="80">
        <f t="shared" si="39"/>
        <v>0</v>
      </c>
    </row>
    <row r="99" spans="1:15" x14ac:dyDescent="0.25">
      <c r="A99" s="655" t="s">
        <v>411</v>
      </c>
      <c r="B99" s="534"/>
      <c r="C99" s="534"/>
      <c r="D99" s="534"/>
      <c r="E99" s="534"/>
      <c r="F99" s="534"/>
      <c r="G99" s="534"/>
      <c r="H99" s="534"/>
      <c r="I99" s="534"/>
      <c r="J99" s="534"/>
      <c r="K99" s="534"/>
      <c r="L99" s="534"/>
      <c r="M99" s="534"/>
      <c r="N99" s="80">
        <f t="shared" si="39"/>
        <v>0</v>
      </c>
    </row>
    <row r="100" spans="1:15" x14ac:dyDescent="0.25">
      <c r="A100" s="655" t="s">
        <v>2871</v>
      </c>
      <c r="B100" s="534"/>
      <c r="C100" s="534"/>
      <c r="D100" s="534"/>
      <c r="E100" s="534"/>
      <c r="F100" s="534"/>
      <c r="G100" s="534"/>
      <c r="H100" s="534"/>
      <c r="I100" s="534"/>
      <c r="J100" s="534"/>
      <c r="K100" s="534"/>
      <c r="L100" s="534"/>
      <c r="M100" s="534"/>
      <c r="N100" s="80">
        <f t="shared" si="39"/>
        <v>0</v>
      </c>
    </row>
    <row r="101" spans="1:15" x14ac:dyDescent="0.25">
      <c r="A101" s="655" t="s">
        <v>412</v>
      </c>
      <c r="B101" s="534"/>
      <c r="C101" s="534"/>
      <c r="D101" s="534"/>
      <c r="E101" s="534"/>
      <c r="F101" s="534"/>
      <c r="G101" s="534"/>
      <c r="H101" s="534"/>
      <c r="I101" s="534"/>
      <c r="J101" s="534"/>
      <c r="K101" s="534"/>
      <c r="L101" s="534"/>
      <c r="M101" s="534"/>
      <c r="N101" s="80">
        <f t="shared" si="39"/>
        <v>0</v>
      </c>
    </row>
    <row r="102" spans="1:15" x14ac:dyDescent="0.25">
      <c r="A102" s="655" t="s">
        <v>413</v>
      </c>
      <c r="B102" s="534"/>
      <c r="C102" s="534"/>
      <c r="D102" s="534"/>
      <c r="E102" s="534"/>
      <c r="F102" s="534"/>
      <c r="G102" s="534"/>
      <c r="H102" s="534"/>
      <c r="I102" s="534"/>
      <c r="J102" s="534"/>
      <c r="K102" s="534"/>
      <c r="L102" s="534"/>
      <c r="M102" s="534"/>
      <c r="N102" s="80">
        <f t="shared" si="39"/>
        <v>0</v>
      </c>
    </row>
    <row r="103" spans="1:15" x14ac:dyDescent="0.25">
      <c r="A103" s="655" t="s">
        <v>414</v>
      </c>
      <c r="B103" s="534"/>
      <c r="C103" s="534"/>
      <c r="D103" s="534"/>
      <c r="E103" s="534"/>
      <c r="F103" s="534"/>
      <c r="G103" s="534"/>
      <c r="H103" s="534"/>
      <c r="I103" s="534"/>
      <c r="J103" s="534"/>
      <c r="K103" s="534"/>
      <c r="L103" s="534"/>
      <c r="M103" s="534"/>
      <c r="N103" s="80">
        <f t="shared" si="39"/>
        <v>0</v>
      </c>
    </row>
    <row r="104" spans="1:15" x14ac:dyDescent="0.25">
      <c r="A104" s="655" t="s">
        <v>415</v>
      </c>
      <c r="B104" s="534"/>
      <c r="C104" s="534"/>
      <c r="D104" s="534"/>
      <c r="E104" s="534"/>
      <c r="F104" s="534"/>
      <c r="G104" s="534"/>
      <c r="H104" s="534"/>
      <c r="I104" s="534"/>
      <c r="J104" s="534"/>
      <c r="K104" s="534"/>
      <c r="L104" s="534"/>
      <c r="M104" s="534"/>
      <c r="N104" s="80">
        <f t="shared" si="39"/>
        <v>0</v>
      </c>
    </row>
    <row r="105" spans="1:15" x14ac:dyDescent="0.25">
      <c r="A105" s="655" t="s">
        <v>416</v>
      </c>
      <c r="B105" s="534"/>
      <c r="C105" s="534"/>
      <c r="D105" s="534"/>
      <c r="E105" s="534"/>
      <c r="F105" s="534"/>
      <c r="G105" s="534"/>
      <c r="H105" s="534"/>
      <c r="I105" s="534"/>
      <c r="J105" s="534"/>
      <c r="K105" s="534"/>
      <c r="L105" s="534"/>
      <c r="M105" s="534"/>
      <c r="N105" s="80">
        <f t="shared" si="39"/>
        <v>0</v>
      </c>
    </row>
    <row r="106" spans="1:15" x14ac:dyDescent="0.25">
      <c r="A106" s="655" t="s">
        <v>417</v>
      </c>
      <c r="B106" s="534"/>
      <c r="C106" s="534"/>
      <c r="D106" s="534"/>
      <c r="E106" s="534"/>
      <c r="F106" s="534"/>
      <c r="G106" s="534"/>
      <c r="H106" s="534"/>
      <c r="I106" s="534"/>
      <c r="J106" s="534"/>
      <c r="K106" s="534"/>
      <c r="L106" s="534"/>
      <c r="M106" s="534"/>
      <c r="N106" s="80">
        <f t="shared" si="39"/>
        <v>0</v>
      </c>
    </row>
    <row r="107" spans="1:15" x14ac:dyDescent="0.25">
      <c r="A107" s="655" t="s">
        <v>2876</v>
      </c>
      <c r="B107" s="534"/>
      <c r="C107" s="534"/>
      <c r="D107" s="534"/>
      <c r="E107" s="534"/>
      <c r="F107" s="534"/>
      <c r="G107" s="534"/>
      <c r="H107" s="534"/>
      <c r="I107" s="534"/>
      <c r="J107" s="534"/>
      <c r="K107" s="534"/>
      <c r="L107" s="534"/>
      <c r="M107" s="534"/>
      <c r="N107" s="80">
        <f>SUM(B107:M107)/12</f>
        <v>0</v>
      </c>
    </row>
    <row r="108" spans="1:15" x14ac:dyDescent="0.25">
      <c r="A108" s="654" t="s">
        <v>2890</v>
      </c>
      <c r="B108" s="659"/>
      <c r="C108" s="659"/>
      <c r="D108" s="659"/>
      <c r="E108" s="659"/>
      <c r="F108" s="659"/>
      <c r="G108" s="659"/>
      <c r="H108" s="659"/>
      <c r="I108" s="659"/>
      <c r="J108" s="659"/>
      <c r="K108" s="659"/>
      <c r="L108" s="659"/>
      <c r="M108" s="659"/>
    </row>
    <row r="109" spans="1:15" x14ac:dyDescent="0.25">
      <c r="A109" s="655" t="s">
        <v>2901</v>
      </c>
      <c r="B109" s="534"/>
      <c r="C109" s="534"/>
      <c r="D109" s="534"/>
      <c r="E109" s="534"/>
      <c r="F109" s="534"/>
      <c r="G109" s="534"/>
      <c r="H109" s="534"/>
      <c r="I109" s="534"/>
      <c r="J109" s="534"/>
      <c r="K109" s="534"/>
      <c r="L109" s="534"/>
      <c r="M109" s="534"/>
      <c r="N109" s="80">
        <f t="shared" ref="N109:N110" si="40">SUM(B109:M109)/12</f>
        <v>0</v>
      </c>
    </row>
    <row r="110" spans="1:15" x14ac:dyDescent="0.25">
      <c r="A110" s="655" t="s">
        <v>2900</v>
      </c>
      <c r="B110" s="534"/>
      <c r="C110" s="534"/>
      <c r="D110" s="534"/>
      <c r="E110" s="534"/>
      <c r="F110" s="534"/>
      <c r="G110" s="534"/>
      <c r="H110" s="534"/>
      <c r="I110" s="534"/>
      <c r="J110" s="534"/>
      <c r="K110" s="534"/>
      <c r="L110" s="534"/>
      <c r="M110" s="534"/>
      <c r="N110" s="80">
        <f t="shared" si="40"/>
        <v>0</v>
      </c>
    </row>
    <row r="111" spans="1:15" x14ac:dyDescent="0.25">
      <c r="A111" s="656"/>
      <c r="M111" s="665"/>
      <c r="N111" s="769"/>
      <c r="O111" s="769"/>
    </row>
    <row r="112" spans="1:15" x14ac:dyDescent="0.25">
      <c r="A112" s="662" t="s">
        <v>2882</v>
      </c>
      <c r="B112" s="673">
        <f t="shared" ref="B112:L112" si="41">SUM(B86:B107)</f>
        <v>0</v>
      </c>
      <c r="C112" s="673">
        <f t="shared" si="41"/>
        <v>0</v>
      </c>
      <c r="D112" s="673">
        <f t="shared" si="41"/>
        <v>0</v>
      </c>
      <c r="E112" s="673">
        <f t="shared" si="41"/>
        <v>0</v>
      </c>
      <c r="F112" s="673">
        <f t="shared" si="41"/>
        <v>0</v>
      </c>
      <c r="G112" s="673">
        <f t="shared" si="41"/>
        <v>0</v>
      </c>
      <c r="H112" s="673">
        <f t="shared" si="41"/>
        <v>0</v>
      </c>
      <c r="I112" s="673">
        <f t="shared" si="41"/>
        <v>0</v>
      </c>
      <c r="J112" s="673">
        <f t="shared" si="41"/>
        <v>0</v>
      </c>
      <c r="K112" s="673">
        <f t="shared" si="41"/>
        <v>0</v>
      </c>
      <c r="L112" s="673">
        <f t="shared" si="41"/>
        <v>0</v>
      </c>
      <c r="M112" s="673">
        <f>SUM(M86:M107)</f>
        <v>0</v>
      </c>
      <c r="N112" s="673">
        <f>SUM(B112:M112)/12</f>
        <v>0</v>
      </c>
      <c r="O112" s="672"/>
    </row>
    <row r="113" spans="1:15" ht="45" x14ac:dyDescent="0.25">
      <c r="A113" s="664" t="str">
        <f>("SAU totale en horticulture - pépinière lors de la campagne n-2 ("&amp;Surfaces!Q170&amp;")")</f>
        <v>SAU totale en horticulture - pépinière lors de la campagne n-2 (N-2)</v>
      </c>
      <c r="B113" s="674">
        <f t="shared" ref="B113" si="42">B112+B109</f>
        <v>0</v>
      </c>
      <c r="C113" s="674">
        <f t="shared" ref="C113" si="43">C112+C109</f>
        <v>0</v>
      </c>
      <c r="D113" s="674">
        <f t="shared" ref="D113" si="44">D112+D109</f>
        <v>0</v>
      </c>
      <c r="E113" s="674">
        <f t="shared" ref="E113" si="45">E112+E109</f>
        <v>0</v>
      </c>
      <c r="F113" s="674">
        <f t="shared" ref="F113" si="46">F112+F109</f>
        <v>0</v>
      </c>
      <c r="G113" s="674">
        <f t="shared" ref="G113" si="47">G112+G109</f>
        <v>0</v>
      </c>
      <c r="H113" s="674">
        <f t="shared" ref="H113" si="48">H112+H109</f>
        <v>0</v>
      </c>
      <c r="I113" s="674">
        <f t="shared" ref="I113" si="49">I112+I109</f>
        <v>0</v>
      </c>
      <c r="J113" s="674">
        <f t="shared" ref="J113" si="50">J112+J109</f>
        <v>0</v>
      </c>
      <c r="K113" s="674">
        <f t="shared" ref="K113" si="51">K112+K109</f>
        <v>0</v>
      </c>
      <c r="L113" s="674">
        <f t="shared" ref="L113" si="52">L112+L109</f>
        <v>0</v>
      </c>
      <c r="M113" s="674">
        <f>M112+M109</f>
        <v>0</v>
      </c>
      <c r="N113" s="674">
        <f t="shared" ref="N113" si="53">SUM(B113:M113)/12</f>
        <v>0</v>
      </c>
      <c r="O113" s="671" t="s">
        <v>2893</v>
      </c>
    </row>
    <row r="114" spans="1:15" ht="30" x14ac:dyDescent="0.25">
      <c r="A114" s="670" t="s">
        <v>2883</v>
      </c>
      <c r="B114" s="675">
        <f t="shared" ref="B114:L114" si="54">SUM(B86:B90,B92,B95,B97:B101)</f>
        <v>0</v>
      </c>
      <c r="C114" s="675">
        <f t="shared" si="54"/>
        <v>0</v>
      </c>
      <c r="D114" s="675">
        <f t="shared" si="54"/>
        <v>0</v>
      </c>
      <c r="E114" s="675">
        <f t="shared" si="54"/>
        <v>0</v>
      </c>
      <c r="F114" s="675">
        <f t="shared" si="54"/>
        <v>0</v>
      </c>
      <c r="G114" s="675">
        <f t="shared" si="54"/>
        <v>0</v>
      </c>
      <c r="H114" s="675">
        <f t="shared" si="54"/>
        <v>0</v>
      </c>
      <c r="I114" s="675">
        <f t="shared" si="54"/>
        <v>0</v>
      </c>
      <c r="J114" s="675">
        <f t="shared" si="54"/>
        <v>0</v>
      </c>
      <c r="K114" s="675">
        <f t="shared" si="54"/>
        <v>0</v>
      </c>
      <c r="L114" s="675">
        <f t="shared" si="54"/>
        <v>0</v>
      </c>
      <c r="M114" s="675">
        <f>SUM(M86:M90,M92,M95,M97:M101)</f>
        <v>0</v>
      </c>
      <c r="N114" s="675">
        <f t="shared" ref="N114" si="55">SUM(B114:M114)/12</f>
        <v>0</v>
      </c>
      <c r="O114" s="658"/>
    </row>
    <row r="115" spans="1:15" ht="45" x14ac:dyDescent="0.25">
      <c r="A115" s="664" t="str">
        <f>("SAU totale en horticulture - pépinière hors sol lors de la campagne n-2 ("&amp;Surfaces!Q170&amp;")")</f>
        <v>SAU totale en horticulture - pépinière hors sol lors de la campagne n-2 (N-2)</v>
      </c>
      <c r="B115" s="674">
        <f t="shared" ref="B115" si="56">B114+B110</f>
        <v>0</v>
      </c>
      <c r="C115" s="674">
        <f t="shared" ref="C115" si="57">C114+C110</f>
        <v>0</v>
      </c>
      <c r="D115" s="674">
        <f t="shared" ref="D115" si="58">D114+D110</f>
        <v>0</v>
      </c>
      <c r="E115" s="674">
        <f t="shared" ref="E115" si="59">E114+E110</f>
        <v>0</v>
      </c>
      <c r="F115" s="674">
        <f t="shared" ref="F115" si="60">F114+F110</f>
        <v>0</v>
      </c>
      <c r="G115" s="674">
        <f t="shared" ref="G115" si="61">G114+G110</f>
        <v>0</v>
      </c>
      <c r="H115" s="674">
        <f t="shared" ref="H115" si="62">H114+H110</f>
        <v>0</v>
      </c>
      <c r="I115" s="674">
        <f t="shared" ref="I115" si="63">I114+I110</f>
        <v>0</v>
      </c>
      <c r="J115" s="674">
        <f t="shared" ref="J115" si="64">J114+J110</f>
        <v>0</v>
      </c>
      <c r="K115" s="674">
        <f t="shared" ref="K115" si="65">K114+K110</f>
        <v>0</v>
      </c>
      <c r="L115" s="674">
        <f t="shared" ref="L115" si="66">L114+L110</f>
        <v>0</v>
      </c>
      <c r="M115" s="674">
        <f>M114+M110</f>
        <v>0</v>
      </c>
      <c r="N115" s="674">
        <f t="shared" ref="N115" si="67">SUM(B115:M115)/12</f>
        <v>0</v>
      </c>
      <c r="O115" s="671" t="s">
        <v>2894</v>
      </c>
    </row>
    <row r="116" spans="1:15" x14ac:dyDescent="0.25">
      <c r="A116" s="656"/>
    </row>
    <row r="117" spans="1:15" x14ac:dyDescent="0.25">
      <c r="A117" s="656"/>
    </row>
    <row r="118" spans="1:15" x14ac:dyDescent="0.25">
      <c r="A118" s="656"/>
    </row>
    <row r="119" spans="1:15" x14ac:dyDescent="0.25">
      <c r="A119" s="656"/>
    </row>
    <row r="120" spans="1:15" x14ac:dyDescent="0.25">
      <c r="A120" s="656"/>
    </row>
    <row r="121" spans="1:15" x14ac:dyDescent="0.25">
      <c r="A121" s="656"/>
    </row>
    <row r="122" spans="1:15" x14ac:dyDescent="0.25">
      <c r="A122" s="656"/>
    </row>
    <row r="123" spans="1:15" x14ac:dyDescent="0.25">
      <c r="A123" s="656"/>
    </row>
    <row r="124" spans="1:15" x14ac:dyDescent="0.25">
      <c r="A124" s="656"/>
    </row>
    <row r="125" spans="1:15" x14ac:dyDescent="0.25">
      <c r="A125" s="656"/>
    </row>
    <row r="126" spans="1:15" x14ac:dyDescent="0.25">
      <c r="A126" s="656"/>
    </row>
    <row r="127" spans="1:15" x14ac:dyDescent="0.25">
      <c r="A127" s="656"/>
    </row>
    <row r="128" spans="1:15" x14ac:dyDescent="0.25">
      <c r="A128" s="656"/>
    </row>
    <row r="129" spans="1:1" x14ac:dyDescent="0.25">
      <c r="A129" s="656"/>
    </row>
    <row r="130" spans="1:1" x14ac:dyDescent="0.25">
      <c r="A130" s="656"/>
    </row>
    <row r="131" spans="1:1" x14ac:dyDescent="0.25">
      <c r="A131" s="656"/>
    </row>
    <row r="132" spans="1:1" x14ac:dyDescent="0.25">
      <c r="A132" s="656"/>
    </row>
    <row r="133" spans="1:1" x14ac:dyDescent="0.25">
      <c r="A133" s="656"/>
    </row>
    <row r="134" spans="1:1" x14ac:dyDescent="0.25">
      <c r="A134" s="656"/>
    </row>
    <row r="135" spans="1:1" x14ac:dyDescent="0.25">
      <c r="A135" s="656"/>
    </row>
    <row r="136" spans="1:1" x14ac:dyDescent="0.25">
      <c r="A136" s="656"/>
    </row>
    <row r="137" spans="1:1" x14ac:dyDescent="0.25">
      <c r="A137" s="656"/>
    </row>
    <row r="138" spans="1:1" x14ac:dyDescent="0.25">
      <c r="A138" s="656"/>
    </row>
    <row r="139" spans="1:1" x14ac:dyDescent="0.25">
      <c r="A139" s="656"/>
    </row>
    <row r="140" spans="1:1" x14ac:dyDescent="0.25">
      <c r="A140" s="656"/>
    </row>
    <row r="141" spans="1:1" x14ac:dyDescent="0.25">
      <c r="A141" s="656"/>
    </row>
    <row r="142" spans="1:1" x14ac:dyDescent="0.25">
      <c r="A142" s="656"/>
    </row>
    <row r="143" spans="1:1" x14ac:dyDescent="0.25">
      <c r="A143" s="656"/>
    </row>
    <row r="144" spans="1:1" x14ac:dyDescent="0.25">
      <c r="A144" s="656"/>
    </row>
    <row r="145" spans="1:1" x14ac:dyDescent="0.25">
      <c r="A145" s="656"/>
    </row>
    <row r="146" spans="1:1" x14ac:dyDescent="0.25">
      <c r="A146" s="656"/>
    </row>
    <row r="147" spans="1:1" x14ac:dyDescent="0.25">
      <c r="A147" s="656"/>
    </row>
    <row r="148" spans="1:1" x14ac:dyDescent="0.25">
      <c r="A148" s="656"/>
    </row>
    <row r="149" spans="1:1" x14ac:dyDescent="0.25">
      <c r="A149" s="656"/>
    </row>
    <row r="150" spans="1:1" x14ac:dyDescent="0.25">
      <c r="A150" s="656"/>
    </row>
    <row r="151" spans="1:1" x14ac:dyDescent="0.25">
      <c r="A151" s="656"/>
    </row>
    <row r="152" spans="1:1" x14ac:dyDescent="0.25">
      <c r="A152" s="656"/>
    </row>
    <row r="153" spans="1:1" x14ac:dyDescent="0.25">
      <c r="A153" s="656"/>
    </row>
    <row r="154" spans="1:1" x14ac:dyDescent="0.25">
      <c r="A154" s="656"/>
    </row>
    <row r="155" spans="1:1" x14ac:dyDescent="0.25">
      <c r="A155" s="656"/>
    </row>
    <row r="156" spans="1:1" x14ac:dyDescent="0.25">
      <c r="A156" s="656"/>
    </row>
    <row r="157" spans="1:1" x14ac:dyDescent="0.25">
      <c r="A157" s="656"/>
    </row>
    <row r="158" spans="1:1" x14ac:dyDescent="0.25">
      <c r="A158" s="656"/>
    </row>
    <row r="159" spans="1:1" x14ac:dyDescent="0.25">
      <c r="A159" s="656"/>
    </row>
    <row r="160" spans="1:1" x14ac:dyDescent="0.25">
      <c r="A160" s="656"/>
    </row>
    <row r="161" spans="1:1" x14ac:dyDescent="0.25">
      <c r="A161" s="656"/>
    </row>
    <row r="162" spans="1:1" x14ac:dyDescent="0.25">
      <c r="A162" s="656"/>
    </row>
    <row r="163" spans="1:1" x14ac:dyDescent="0.25">
      <c r="A163" s="656"/>
    </row>
    <row r="164" spans="1:1" x14ac:dyDescent="0.25">
      <c r="A164" s="656"/>
    </row>
    <row r="165" spans="1:1" x14ac:dyDescent="0.25">
      <c r="A165" s="656"/>
    </row>
    <row r="166" spans="1:1" x14ac:dyDescent="0.25">
      <c r="A166" s="656"/>
    </row>
    <row r="167" spans="1:1" x14ac:dyDescent="0.25">
      <c r="A167" s="656"/>
    </row>
    <row r="168" spans="1:1" x14ac:dyDescent="0.25">
      <c r="A168" s="656"/>
    </row>
    <row r="169" spans="1:1" x14ac:dyDescent="0.25">
      <c r="A169" s="656"/>
    </row>
    <row r="170" spans="1:1" x14ac:dyDescent="0.25">
      <c r="A170" s="656"/>
    </row>
    <row r="171" spans="1:1" x14ac:dyDescent="0.25">
      <c r="A171" s="656"/>
    </row>
    <row r="172" spans="1:1" x14ac:dyDescent="0.25">
      <c r="A172" s="656"/>
    </row>
    <row r="173" spans="1:1" x14ac:dyDescent="0.25">
      <c r="A173" s="656"/>
    </row>
    <row r="174" spans="1:1" x14ac:dyDescent="0.25">
      <c r="A174" s="656"/>
    </row>
    <row r="175" spans="1:1" x14ac:dyDescent="0.25">
      <c r="A175" s="656"/>
    </row>
    <row r="176" spans="1:1" x14ac:dyDescent="0.25">
      <c r="A176" s="656"/>
    </row>
    <row r="177" spans="1:1" x14ac:dyDescent="0.25">
      <c r="A177" s="656"/>
    </row>
    <row r="178" spans="1:1" x14ac:dyDescent="0.25">
      <c r="A178" s="656"/>
    </row>
    <row r="179" spans="1:1" x14ac:dyDescent="0.25">
      <c r="A179" s="656"/>
    </row>
    <row r="180" spans="1:1" x14ac:dyDescent="0.25">
      <c r="A180" s="656"/>
    </row>
    <row r="181" spans="1:1" x14ac:dyDescent="0.25">
      <c r="A181" s="656"/>
    </row>
    <row r="182" spans="1:1" x14ac:dyDescent="0.25">
      <c r="A182" s="656"/>
    </row>
    <row r="183" spans="1:1" x14ac:dyDescent="0.25">
      <c r="A183" s="656"/>
    </row>
    <row r="184" spans="1:1" x14ac:dyDescent="0.25">
      <c r="A184" s="656"/>
    </row>
    <row r="185" spans="1:1" x14ac:dyDescent="0.25">
      <c r="A185" s="656"/>
    </row>
    <row r="186" spans="1:1" x14ac:dyDescent="0.25">
      <c r="A186" s="656"/>
    </row>
    <row r="187" spans="1:1" x14ac:dyDescent="0.25">
      <c r="A187" s="656"/>
    </row>
    <row r="188" spans="1:1" x14ac:dyDescent="0.25">
      <c r="A188" s="656"/>
    </row>
    <row r="189" spans="1:1" x14ac:dyDescent="0.25">
      <c r="A189" s="656"/>
    </row>
    <row r="190" spans="1:1" x14ac:dyDescent="0.25">
      <c r="A190" s="656"/>
    </row>
    <row r="191" spans="1:1" x14ac:dyDescent="0.25">
      <c r="A191" s="656"/>
    </row>
    <row r="192" spans="1:1" x14ac:dyDescent="0.25">
      <c r="A192" s="656"/>
    </row>
    <row r="193" spans="1:1" x14ac:dyDescent="0.25">
      <c r="A193" s="656"/>
    </row>
    <row r="194" spans="1:1" x14ac:dyDescent="0.25">
      <c r="A194" s="656"/>
    </row>
    <row r="195" spans="1:1" x14ac:dyDescent="0.25">
      <c r="A195" s="656"/>
    </row>
    <row r="196" spans="1:1" x14ac:dyDescent="0.25">
      <c r="A196" s="656"/>
    </row>
    <row r="197" spans="1:1" x14ac:dyDescent="0.25">
      <c r="A197" s="656"/>
    </row>
    <row r="198" spans="1:1" x14ac:dyDescent="0.25">
      <c r="A198" s="656"/>
    </row>
    <row r="199" spans="1:1" x14ac:dyDescent="0.25">
      <c r="A199" s="656"/>
    </row>
    <row r="200" spans="1:1" x14ac:dyDescent="0.25">
      <c r="A200" s="656"/>
    </row>
    <row r="201" spans="1:1" x14ac:dyDescent="0.25">
      <c r="A201" s="656"/>
    </row>
    <row r="202" spans="1:1" x14ac:dyDescent="0.25">
      <c r="A202" s="656"/>
    </row>
    <row r="203" spans="1:1" x14ac:dyDescent="0.25">
      <c r="A203" s="656"/>
    </row>
    <row r="204" spans="1:1" x14ac:dyDescent="0.25">
      <c r="A204" s="656"/>
    </row>
    <row r="205" spans="1:1" x14ac:dyDescent="0.25">
      <c r="A205" s="656"/>
    </row>
    <row r="206" spans="1:1" x14ac:dyDescent="0.25">
      <c r="A206" s="656"/>
    </row>
    <row r="207" spans="1:1" x14ac:dyDescent="0.25">
      <c r="A207" s="656"/>
    </row>
    <row r="208" spans="1:1" x14ac:dyDescent="0.25">
      <c r="A208" s="656"/>
    </row>
    <row r="209" spans="1:1" x14ac:dyDescent="0.25">
      <c r="A209" s="656"/>
    </row>
    <row r="210" spans="1:1" x14ac:dyDescent="0.25">
      <c r="A210" s="656"/>
    </row>
    <row r="211" spans="1:1" x14ac:dyDescent="0.25">
      <c r="A211" s="656"/>
    </row>
    <row r="212" spans="1:1" x14ac:dyDescent="0.25">
      <c r="A212" s="656"/>
    </row>
    <row r="213" spans="1:1" x14ac:dyDescent="0.25">
      <c r="A213" s="656"/>
    </row>
    <row r="214" spans="1:1" x14ac:dyDescent="0.25">
      <c r="A214" s="656"/>
    </row>
  </sheetData>
  <sheetProtection algorithmName="SHA-512" hashValue="CJlcyHXCgrG4bEOKekqjx73AdktSotZYqSiOikdqYxChoT5/N41bEwnQRiLbPYoD6qGGS9fOPi26H+ZeuFZyGA==" saltValue="ctRZIKilzI57Y/Jgd03e4A==" spinCount="100000" sheet="1" objects="1" scenarios="1"/>
  <mergeCells count="4">
    <mergeCell ref="N37:O37"/>
    <mergeCell ref="N74:O74"/>
    <mergeCell ref="N111:O111"/>
    <mergeCell ref="N1:O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AG278"/>
  <sheetViews>
    <sheetView showGridLines="0" zoomScale="80" zoomScaleNormal="80" workbookViewId="0">
      <pane ySplit="5" topLeftCell="A6" activePane="bottomLeft" state="frozen"/>
      <selection activeCell="AA19" sqref="AA19"/>
      <selection pane="bottomLeft" activeCell="J16" sqref="J16"/>
    </sheetView>
  </sheetViews>
  <sheetFormatPr baseColWidth="10" defaultColWidth="9.140625" defaultRowHeight="15" x14ac:dyDescent="0.25"/>
  <cols>
    <col min="22" max="22" width="2.140625" customWidth="1"/>
    <col min="26" max="26" width="10" customWidth="1"/>
    <col min="28" max="28" width="10.7109375" customWidth="1"/>
    <col min="29" max="29" width="0" hidden="1" customWidth="1"/>
    <col min="30" max="32" width="9.140625" hidden="1" customWidth="1"/>
    <col min="33" max="33" width="27" hidden="1" customWidth="1"/>
    <col min="34" max="42" width="0" hidden="1" customWidth="1"/>
  </cols>
  <sheetData>
    <row r="1" spans="1:32" x14ac:dyDescent="0.25">
      <c r="A1" s="29"/>
      <c r="B1" s="29"/>
      <c r="C1" s="29"/>
      <c r="D1" s="29"/>
      <c r="E1" s="29"/>
      <c r="F1" s="29"/>
      <c r="G1" s="29"/>
      <c r="H1" s="29"/>
      <c r="I1" s="29"/>
      <c r="J1" s="29"/>
      <c r="K1" s="81"/>
      <c r="L1" s="81"/>
      <c r="M1" s="81"/>
      <c r="N1" s="81"/>
      <c r="O1" s="29"/>
      <c r="P1" s="29"/>
      <c r="Q1" s="29"/>
      <c r="R1" s="29"/>
      <c r="S1" s="29"/>
      <c r="T1" s="29"/>
      <c r="U1" s="83" t="s">
        <v>715</v>
      </c>
      <c r="V1" s="29"/>
      <c r="W1" s="29"/>
      <c r="X1" s="29"/>
      <c r="Y1" s="29"/>
      <c r="Z1" s="29"/>
      <c r="AA1" s="29"/>
      <c r="AB1" s="29"/>
    </row>
    <row r="2" spans="1:32" x14ac:dyDescent="0.25">
      <c r="A2" s="29"/>
      <c r="B2" s="29"/>
      <c r="C2" s="29"/>
      <c r="D2" s="29"/>
      <c r="E2" s="29"/>
      <c r="F2" s="29"/>
      <c r="G2" s="29"/>
      <c r="H2" s="29"/>
      <c r="I2" s="29"/>
      <c r="J2" s="29"/>
      <c r="K2" s="81"/>
      <c r="L2" s="81"/>
      <c r="M2" s="81"/>
      <c r="N2" s="81"/>
      <c r="O2" s="29"/>
      <c r="P2" s="29"/>
      <c r="Q2" s="29"/>
      <c r="R2" s="29"/>
      <c r="S2" s="29"/>
      <c r="T2" s="29"/>
      <c r="U2" s="83" t="s">
        <v>714</v>
      </c>
      <c r="V2" s="29"/>
      <c r="W2" s="29"/>
      <c r="X2" s="29"/>
      <c r="Y2" s="29"/>
      <c r="Z2" s="29"/>
      <c r="AA2" s="29"/>
      <c r="AB2" s="29"/>
    </row>
    <row r="3" spans="1:32" x14ac:dyDescent="0.25">
      <c r="A3" s="29"/>
      <c r="B3" s="29"/>
      <c r="C3" s="29"/>
      <c r="D3" s="29"/>
      <c r="E3" s="29"/>
      <c r="F3" s="29"/>
      <c r="G3" s="29"/>
      <c r="H3" s="29"/>
      <c r="I3" s="29"/>
      <c r="J3" s="29"/>
      <c r="K3" s="81"/>
      <c r="L3" s="81"/>
      <c r="M3" s="81"/>
      <c r="N3" s="81"/>
      <c r="O3" s="29"/>
      <c r="P3" s="29"/>
      <c r="Q3" s="29"/>
      <c r="R3" s="29"/>
      <c r="S3" s="29"/>
      <c r="T3" s="29"/>
      <c r="U3" s="82" t="s">
        <v>579</v>
      </c>
      <c r="V3" s="29"/>
      <c r="W3" s="29"/>
      <c r="X3" s="29"/>
      <c r="Y3" s="29"/>
      <c r="Z3" s="29"/>
      <c r="AA3" s="29"/>
      <c r="AB3" s="29"/>
    </row>
    <row r="4" spans="1:32" x14ac:dyDescent="0.25">
      <c r="A4" s="29"/>
      <c r="B4" s="29"/>
      <c r="C4" s="29"/>
      <c r="D4" s="29"/>
      <c r="E4" s="29"/>
      <c r="F4" s="29"/>
      <c r="G4" s="29"/>
      <c r="H4" s="29"/>
      <c r="I4" s="29"/>
      <c r="J4" s="29"/>
      <c r="K4" s="29"/>
      <c r="L4" s="29"/>
      <c r="M4" s="29"/>
      <c r="N4" s="29"/>
      <c r="O4" s="29"/>
      <c r="P4" s="29"/>
      <c r="Q4" s="29"/>
      <c r="R4" s="29"/>
      <c r="S4" s="29"/>
      <c r="T4" s="29"/>
      <c r="U4" s="29"/>
      <c r="V4" s="29"/>
      <c r="W4" s="29"/>
      <c r="X4" s="29"/>
      <c r="Y4" s="29"/>
      <c r="Z4" s="29"/>
      <c r="AA4" s="696" t="str">
        <f>Accueil!I6</f>
        <v>Version 1.06</v>
      </c>
      <c r="AB4" s="696"/>
    </row>
    <row r="5" spans="1:32" x14ac:dyDescent="0.2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7" spans="1:32" ht="15.75" thickBot="1" x14ac:dyDescent="0.3"/>
    <row r="8" spans="1:32" x14ac:dyDescent="0.25">
      <c r="B8" s="18"/>
      <c r="C8" s="19"/>
      <c r="D8" s="19"/>
      <c r="E8" s="19"/>
      <c r="F8" s="19"/>
      <c r="G8" s="19"/>
      <c r="H8" s="19"/>
      <c r="I8" s="19"/>
      <c r="J8" s="19"/>
      <c r="K8" s="19"/>
      <c r="L8" s="19"/>
      <c r="M8" s="19"/>
      <c r="N8" s="19"/>
      <c r="O8" s="19"/>
      <c r="P8" s="19"/>
      <c r="Q8" s="19"/>
      <c r="R8" s="19"/>
      <c r="S8" s="19"/>
      <c r="T8" s="19"/>
      <c r="U8" s="19"/>
      <c r="V8" s="19"/>
      <c r="W8" s="19"/>
      <c r="X8" s="19"/>
      <c r="Y8" s="19"/>
      <c r="Z8" s="19"/>
      <c r="AA8" s="20"/>
      <c r="AB8" s="6"/>
      <c r="AD8" t="s">
        <v>254</v>
      </c>
    </row>
    <row r="9" spans="1:32" s="499" customFormat="1" x14ac:dyDescent="0.25">
      <c r="B9" s="21"/>
      <c r="C9" s="6"/>
      <c r="D9" s="6"/>
      <c r="E9" s="6"/>
      <c r="F9" s="6"/>
      <c r="G9" s="6"/>
      <c r="H9" s="6"/>
      <c r="I9" s="6"/>
      <c r="J9" s="6"/>
      <c r="K9" s="6"/>
      <c r="L9" s="6"/>
      <c r="M9" s="6"/>
      <c r="N9" s="6"/>
      <c r="O9" s="6"/>
      <c r="P9" s="6"/>
      <c r="Q9" s="6"/>
      <c r="R9" s="6"/>
      <c r="S9" s="6"/>
      <c r="T9" s="6"/>
      <c r="U9" s="6"/>
      <c r="V9" s="6"/>
      <c r="W9" s="6"/>
      <c r="X9" s="6"/>
      <c r="Y9" s="6"/>
      <c r="Z9" s="6"/>
      <c r="AA9" s="22"/>
      <c r="AB9" s="6"/>
    </row>
    <row r="10" spans="1:32" x14ac:dyDescent="0.25">
      <c r="B10" s="21"/>
      <c r="C10" s="70" t="s">
        <v>2427</v>
      </c>
      <c r="D10" s="6"/>
      <c r="E10" s="6"/>
      <c r="F10" s="6"/>
      <c r="G10" s="6"/>
      <c r="H10" s="6"/>
      <c r="I10" s="6"/>
      <c r="J10" s="6"/>
      <c r="K10" s="6"/>
      <c r="L10" s="6"/>
      <c r="M10" s="6"/>
      <c r="N10" s="6"/>
      <c r="O10" s="6"/>
      <c r="P10" s="439"/>
      <c r="Q10" s="439"/>
      <c r="R10" s="439"/>
      <c r="S10" s="439"/>
      <c r="T10" s="439"/>
      <c r="U10" s="439"/>
      <c r="V10" s="6"/>
      <c r="W10" s="439"/>
      <c r="X10" s="439"/>
      <c r="Y10" s="439"/>
      <c r="Z10" s="439"/>
      <c r="AA10" s="22"/>
      <c r="AB10" s="6"/>
    </row>
    <row r="11" spans="1:32" x14ac:dyDescent="0.25">
      <c r="B11" s="21"/>
      <c r="C11" s="6"/>
      <c r="D11" s="6"/>
      <c r="E11" s="6"/>
      <c r="F11" s="6"/>
      <c r="G11" s="6"/>
      <c r="H11" s="6"/>
      <c r="I11" s="6"/>
      <c r="J11" s="6"/>
      <c r="K11" s="6"/>
      <c r="L11" s="6"/>
      <c r="M11" s="6"/>
      <c r="N11" s="6"/>
      <c r="O11" s="6"/>
      <c r="P11" s="439"/>
      <c r="Q11" s="439"/>
      <c r="R11" s="439"/>
      <c r="S11" s="439"/>
      <c r="T11" s="439"/>
      <c r="U11" s="439"/>
      <c r="V11" s="6"/>
      <c r="W11" s="439"/>
      <c r="X11" s="439"/>
      <c r="Y11" s="439"/>
      <c r="Z11" s="439"/>
      <c r="AA11" s="22"/>
      <c r="AB11" s="6"/>
    </row>
    <row r="12" spans="1:32" x14ac:dyDescent="0.25">
      <c r="B12" s="21"/>
      <c r="C12" s="6"/>
      <c r="D12" s="6"/>
      <c r="E12" s="6"/>
      <c r="F12" s="6"/>
      <c r="G12" s="6"/>
      <c r="H12" s="6"/>
      <c r="I12" s="6"/>
      <c r="J12" s="6"/>
      <c r="K12" s="6"/>
      <c r="L12" s="6"/>
      <c r="M12" s="6"/>
      <c r="N12" s="6"/>
      <c r="O12" s="6"/>
      <c r="P12" s="857" t="s">
        <v>2342</v>
      </c>
      <c r="Q12" s="857"/>
      <c r="R12" s="857"/>
      <c r="S12" s="857"/>
      <c r="T12" s="857"/>
      <c r="U12" s="857"/>
      <c r="V12" s="6"/>
      <c r="W12" s="857" t="s">
        <v>2428</v>
      </c>
      <c r="X12" s="857"/>
      <c r="Y12" s="857"/>
      <c r="Z12" s="857"/>
      <c r="AA12" s="22"/>
      <c r="AB12" s="6"/>
    </row>
    <row r="13" spans="1:32" x14ac:dyDescent="0.25">
      <c r="B13" s="21"/>
      <c r="C13" s="6"/>
      <c r="D13" s="6"/>
      <c r="E13" s="6"/>
      <c r="F13" s="6"/>
      <c r="G13" s="6"/>
      <c r="H13" s="6"/>
      <c r="I13" s="6"/>
      <c r="J13" s="6"/>
      <c r="K13" s="6"/>
      <c r="L13" s="6"/>
      <c r="M13" s="6"/>
      <c r="N13" s="6"/>
      <c r="O13" s="6"/>
      <c r="P13" s="857" t="s">
        <v>2343</v>
      </c>
      <c r="Q13" s="857"/>
      <c r="R13" s="857"/>
      <c r="S13" s="857"/>
      <c r="T13" s="862" t="s">
        <v>211</v>
      </c>
      <c r="U13" s="862"/>
      <c r="V13" s="6"/>
      <c r="W13" s="857"/>
      <c r="X13" s="857"/>
      <c r="Y13" s="857"/>
      <c r="Z13" s="857"/>
      <c r="AA13" s="389"/>
      <c r="AB13" s="6"/>
      <c r="AF13" s="6"/>
    </row>
    <row r="14" spans="1:32" ht="15" customHeight="1" x14ac:dyDescent="0.25">
      <c r="B14" s="21"/>
      <c r="C14" s="6"/>
      <c r="D14" s="6"/>
      <c r="E14" s="6"/>
      <c r="F14" s="6"/>
      <c r="G14" s="6"/>
      <c r="H14" s="6"/>
      <c r="I14" s="6"/>
      <c r="J14" s="6"/>
      <c r="K14" s="6"/>
      <c r="L14" s="6"/>
      <c r="M14" s="6"/>
      <c r="N14" s="6"/>
      <c r="O14" s="6"/>
      <c r="P14" s="858" t="s">
        <v>2345</v>
      </c>
      <c r="Q14" s="858"/>
      <c r="R14" s="860" t="s">
        <v>2429</v>
      </c>
      <c r="S14" s="860"/>
      <c r="T14" s="862"/>
      <c r="U14" s="862"/>
      <c r="V14" s="6"/>
      <c r="W14" s="858" t="s">
        <v>2345</v>
      </c>
      <c r="X14" s="858"/>
      <c r="Y14" s="860" t="s">
        <v>2344</v>
      </c>
      <c r="Z14" s="860"/>
      <c r="AA14" s="22"/>
      <c r="AB14" s="6"/>
      <c r="AF14" s="110" t="s">
        <v>249</v>
      </c>
    </row>
    <row r="15" spans="1:32" x14ac:dyDescent="0.25">
      <c r="B15" s="21"/>
      <c r="C15" s="6"/>
      <c r="D15" s="6"/>
      <c r="E15" s="6"/>
      <c r="F15" s="6"/>
      <c r="G15" s="6"/>
      <c r="H15" s="6"/>
      <c r="I15" s="6"/>
      <c r="J15" s="6"/>
      <c r="K15" s="6"/>
      <c r="L15" s="6"/>
      <c r="M15" s="6"/>
      <c r="N15" s="6"/>
      <c r="O15" s="6"/>
      <c r="P15" s="858"/>
      <c r="Q15" s="858"/>
      <c r="R15" s="860"/>
      <c r="S15" s="860"/>
      <c r="T15" s="862"/>
      <c r="U15" s="862"/>
      <c r="V15" s="6"/>
      <c r="W15" s="858"/>
      <c r="X15" s="858"/>
      <c r="Y15" s="860"/>
      <c r="Z15" s="860"/>
      <c r="AA15" s="22"/>
      <c r="AB15" s="6"/>
      <c r="AF15" s="442"/>
    </row>
    <row r="16" spans="1:32" x14ac:dyDescent="0.25">
      <c r="B16" s="21"/>
      <c r="C16" s="6"/>
      <c r="D16" s="6"/>
      <c r="E16" s="6"/>
      <c r="F16" s="6"/>
      <c r="G16" s="6"/>
      <c r="H16" s="6"/>
      <c r="I16" s="6"/>
      <c r="J16" s="6"/>
      <c r="K16" s="6"/>
      <c r="L16" s="6"/>
      <c r="M16" s="6"/>
      <c r="N16" s="6"/>
      <c r="O16" s="6"/>
      <c r="P16" s="859"/>
      <c r="Q16" s="859"/>
      <c r="R16" s="861"/>
      <c r="S16" s="861"/>
      <c r="T16" s="863"/>
      <c r="U16" s="863"/>
      <c r="V16" s="6"/>
      <c r="W16" s="859"/>
      <c r="X16" s="859"/>
      <c r="Y16" s="861"/>
      <c r="Z16" s="861"/>
      <c r="AA16" s="22"/>
      <c r="AB16" s="6"/>
      <c r="AF16" s="442"/>
    </row>
    <row r="17" spans="2:32" ht="15" customHeight="1" x14ac:dyDescent="0.25">
      <c r="B17" s="21"/>
      <c r="C17" s="841" t="s">
        <v>213</v>
      </c>
      <c r="D17" s="841"/>
      <c r="E17" s="841"/>
      <c r="F17" s="841"/>
      <c r="G17" s="841"/>
      <c r="H17" s="841"/>
      <c r="I17" s="841"/>
      <c r="J17" s="841"/>
      <c r="K17" s="841"/>
      <c r="L17" s="841"/>
      <c r="M17" s="841"/>
      <c r="N17" s="841"/>
      <c r="O17" s="842"/>
      <c r="P17" s="817"/>
      <c r="Q17" s="818"/>
      <c r="R17" s="817"/>
      <c r="S17" s="818"/>
      <c r="T17" s="831" t="str">
        <f>IFERROR(INDEX(Paramètres!$E$5:$E$25,MATCH(Biodiversité!AF17,Paramètres!$G$5:$G$25,0)),"Unité non retrouvée")</f>
        <v>m linéaire</v>
      </c>
      <c r="U17" s="832"/>
      <c r="V17" s="6"/>
      <c r="W17" s="847">
        <f>IFERROR(IF(OR(T17="m linéaire",T17="arbre"),(P17*INDEX(Paramètres!$F$5:$F$25,MATCH(Biodiversité!AF17,Paramètres!$G$5:$G$25,0))) / 10000,P17*INDEX(Paramètres!$F$5:$F$25,MATCH(Biodiversité!AF17,Paramètres!$G$5:$G$25,0))),0)</f>
        <v>0</v>
      </c>
      <c r="X17" s="848"/>
      <c r="Y17" s="837">
        <f>IFERROR(IF(OR(T17="m linéaire",T17="arbre"),(R17*INDEX(Paramètres!$F$5:$F$25,MATCH(Biodiversité!AF17,Paramètres!$G$5:$G$25,0))) / 10000, R17*INDEX(Paramètres!$F$5:$F$25,MATCH(Biodiversité!AF17,Paramètres!$G$5:$G$25,0))),0)</f>
        <v>0</v>
      </c>
      <c r="Z17" s="838"/>
      <c r="AA17" s="22"/>
      <c r="AB17" s="6"/>
      <c r="AD17">
        <f>IF(R17&gt;0,INDEX(Paramètres!$H$5:$H$23,MATCH(AF17,Paramètres!$G$5:$G$23,0)),0)</f>
        <v>0</v>
      </c>
      <c r="AF17" s="110">
        <v>1</v>
      </c>
    </row>
    <row r="18" spans="2:32" ht="15" customHeight="1" x14ac:dyDescent="0.25">
      <c r="B18" s="21"/>
      <c r="C18" s="810" t="s">
        <v>216</v>
      </c>
      <c r="D18" s="810"/>
      <c r="E18" s="810"/>
      <c r="F18" s="810"/>
      <c r="G18" s="810"/>
      <c r="H18" s="810"/>
      <c r="I18" s="810"/>
      <c r="J18" s="810"/>
      <c r="K18" s="810"/>
      <c r="L18" s="810"/>
      <c r="M18" s="810"/>
      <c r="N18" s="810"/>
      <c r="O18" s="811"/>
      <c r="P18" s="817"/>
      <c r="Q18" s="818"/>
      <c r="R18" s="817"/>
      <c r="S18" s="818"/>
      <c r="T18" s="831" t="str">
        <f>IFERROR(INDEX(Paramètres!$E$5:$E$25,MATCH(Biodiversité!AF18,Paramètres!$G$5:$G$25,0)),"Unité non retrouvée")</f>
        <v>m linéaire</v>
      </c>
      <c r="U18" s="832"/>
      <c r="V18" s="6"/>
      <c r="W18" s="847">
        <f>IFERROR(IF(OR(T18="m linéaire",T18="arbre"),(P18*INDEX(Paramètres!$F$5:$F$25,MATCH(Biodiversité!AF18,Paramètres!$G$5:$G$25,0))) / 10000,P18*INDEX(Paramètres!$F$5:$F$25,MATCH(Biodiversité!AF18,Paramètres!$G$5:$G$25,0))),0)</f>
        <v>0</v>
      </c>
      <c r="X18" s="848"/>
      <c r="Y18" s="837">
        <f>IFERROR(IF(OR(T18="m linéaire",T18="arbre"),(R18*INDEX(Paramètres!$F$5:$F$25,MATCH(Biodiversité!AF18,Paramètres!$G$5:$G$25,0))) / 10000, R18*INDEX(Paramètres!$F$5:$F$25,MATCH(Biodiversité!AF18,Paramètres!$G$5:$G$25,0))),0)</f>
        <v>0</v>
      </c>
      <c r="Z18" s="838"/>
      <c r="AA18" s="22"/>
      <c r="AB18" s="6"/>
      <c r="AD18">
        <f>IF(R18&gt;0,INDEX(Paramètres!$H$5:$H$23,MATCH(AF18,Paramètres!$G$5:$G$23,0)),0)</f>
        <v>0</v>
      </c>
      <c r="AF18" s="110">
        <v>2</v>
      </c>
    </row>
    <row r="19" spans="2:32" ht="15" customHeight="1" x14ac:dyDescent="0.25">
      <c r="B19" s="21"/>
      <c r="C19" s="810" t="s">
        <v>217</v>
      </c>
      <c r="D19" s="810"/>
      <c r="E19" s="810"/>
      <c r="F19" s="810"/>
      <c r="G19" s="810"/>
      <c r="H19" s="810"/>
      <c r="I19" s="810"/>
      <c r="J19" s="810"/>
      <c r="K19" s="810"/>
      <c r="L19" s="810"/>
      <c r="M19" s="810"/>
      <c r="N19" s="810"/>
      <c r="O19" s="811"/>
      <c r="P19" s="817"/>
      <c r="Q19" s="818"/>
      <c r="R19" s="817"/>
      <c r="S19" s="818"/>
      <c r="T19" s="831" t="str">
        <f>IFERROR(INDEX(Paramètres!$E$5:$E$25,MATCH(Biodiversité!AF19,Paramètres!$G$5:$G$25,0)),"Unité non retrouvée")</f>
        <v>arbre</v>
      </c>
      <c r="U19" s="832"/>
      <c r="V19" s="6"/>
      <c r="W19" s="847">
        <f>IFERROR(IF(OR(T19="m linéaire",T19="arbre"),(P19*INDEX(Paramètres!$F$5:$F$25,MATCH(Biodiversité!AF19,Paramètres!$G$5:$G$25,0))) / 10000,P19*INDEX(Paramètres!$F$5:$F$25,MATCH(Biodiversité!AF19,Paramètres!$G$5:$G$25,0))),0)</f>
        <v>0</v>
      </c>
      <c r="X19" s="848"/>
      <c r="Y19" s="837">
        <f>IFERROR(IF(OR(T19="m linéaire",T19="arbre"),(R19*INDEX(Paramètres!$F$5:$F$25,MATCH(Biodiversité!AF19,Paramètres!$G$5:$G$25,0))) / 10000, R19*INDEX(Paramètres!$F$5:$F$25,MATCH(Biodiversité!AF19,Paramètres!$G$5:$G$25,0))),0)</f>
        <v>0</v>
      </c>
      <c r="Z19" s="838"/>
      <c r="AA19" s="22"/>
      <c r="AB19" s="6"/>
      <c r="AD19">
        <f>IF(R19&gt;0,INDEX(Paramètres!$H$5:$H$23,MATCH(AF19,Paramètres!$G$5:$G$23,0)),0)</f>
        <v>0</v>
      </c>
      <c r="AF19" s="110">
        <v>3</v>
      </c>
    </row>
    <row r="20" spans="2:32" ht="15" customHeight="1" x14ac:dyDescent="0.25">
      <c r="B20" s="21"/>
      <c r="C20" s="810" t="s">
        <v>219</v>
      </c>
      <c r="D20" s="810"/>
      <c r="E20" s="810"/>
      <c r="F20" s="810"/>
      <c r="G20" s="810"/>
      <c r="H20" s="810"/>
      <c r="I20" s="810"/>
      <c r="J20" s="810"/>
      <c r="K20" s="810"/>
      <c r="L20" s="810"/>
      <c r="M20" s="810"/>
      <c r="N20" s="810"/>
      <c r="O20" s="811"/>
      <c r="P20" s="817"/>
      <c r="Q20" s="818"/>
      <c r="R20" s="817"/>
      <c r="S20" s="818"/>
      <c r="T20" s="831" t="str">
        <f>IFERROR(INDEX(Paramètres!$E$5:$E$25,MATCH(Biodiversité!AF20,Paramètres!$G$5:$G$25,0)),"Unité non retrouvée")</f>
        <v>hectares</v>
      </c>
      <c r="U20" s="832"/>
      <c r="V20" s="6"/>
      <c r="W20" s="847">
        <f>IFERROR(IF(OR(T20="m linéaire",T20="arbre"),(P20*INDEX(Paramètres!$F$5:$F$25,MATCH(Biodiversité!AF20,Paramètres!$G$5:$G$25,0))) / 10000,P20*INDEX(Paramètres!$F$5:$F$25,MATCH(Biodiversité!AF20,Paramètres!$G$5:$G$25,0))),0)</f>
        <v>0</v>
      </c>
      <c r="X20" s="848"/>
      <c r="Y20" s="837">
        <f>IFERROR(IF(OR(T20="m linéaire",T20="arbre"),(R20*INDEX(Paramètres!$F$5:$F$25,MATCH(Biodiversité!AF20,Paramètres!$G$5:$G$25,0))) / 10000, R20*INDEX(Paramètres!$F$5:$F$25,MATCH(Biodiversité!AF20,Paramètres!$G$5:$G$25,0))),0)</f>
        <v>0</v>
      </c>
      <c r="Z20" s="838"/>
      <c r="AA20" s="22"/>
      <c r="AB20" s="6"/>
      <c r="AD20">
        <f>IF(R20&gt;0,INDEX(Paramètres!$H$5:$H$23,MATCH(AF20,Paramètres!$G$5:$G$23,0)),0)</f>
        <v>0</v>
      </c>
      <c r="AF20" s="110">
        <v>4</v>
      </c>
    </row>
    <row r="21" spans="2:32" ht="15" customHeight="1" x14ac:dyDescent="0.25">
      <c r="B21" s="21"/>
      <c r="C21" s="810" t="s">
        <v>220</v>
      </c>
      <c r="D21" s="810"/>
      <c r="E21" s="810"/>
      <c r="F21" s="810"/>
      <c r="G21" s="810"/>
      <c r="H21" s="810"/>
      <c r="I21" s="810"/>
      <c r="J21" s="810"/>
      <c r="K21" s="810"/>
      <c r="L21" s="810"/>
      <c r="M21" s="810"/>
      <c r="N21" s="810"/>
      <c r="O21" s="811"/>
      <c r="P21" s="817"/>
      <c r="Q21" s="818"/>
      <c r="R21" s="845"/>
      <c r="S21" s="846"/>
      <c r="T21" s="831" t="str">
        <f>IFERROR(INDEX(Paramètres!$E$5:$E$25,MATCH(Biodiversité!AF21,Paramètres!$G$5:$G$25,0)),"Unité non retrouvée")</f>
        <v>hectares</v>
      </c>
      <c r="U21" s="832"/>
      <c r="V21" s="6"/>
      <c r="W21" s="847">
        <f>IFERROR(IF(OR(T21="m linéaire",T21="arbre"),(P21*INDEX(Paramètres!$F$5:$F$25,MATCH(Biodiversité!AF21,Paramètres!$G$5:$G$25,0))) / 10000,P21*INDEX(Paramètres!$F$5:$F$25,MATCH(Biodiversité!AF21,Paramètres!$G$5:$G$25,0))),0)</f>
        <v>0</v>
      </c>
      <c r="X21" s="848"/>
      <c r="Y21" s="837">
        <f>IFERROR(IF(OR(T21="m linéaire",T21="arbre"),(R21*INDEX(Paramètres!$F$5:$F$25,MATCH(Biodiversité!AF21,Paramètres!$G$5:$G$25,0))) / 10000, R21*INDEX(Paramètres!$F$5:$F$25,MATCH(Biodiversité!AF21,Paramètres!$G$5:$G$25,0))),0)</f>
        <v>0</v>
      </c>
      <c r="Z21" s="838"/>
      <c r="AA21" s="22"/>
      <c r="AB21" s="6"/>
      <c r="AD21">
        <f>IF(R21&gt;0,INDEX(Paramètres!$H$5:$H$23,MATCH(AF21,Paramètres!$G$5:$G$23,0)),0)</f>
        <v>0</v>
      </c>
      <c r="AF21" s="110">
        <v>5</v>
      </c>
    </row>
    <row r="22" spans="2:32" ht="15" customHeight="1" x14ac:dyDescent="0.25">
      <c r="B22" s="21"/>
      <c r="C22" s="810" t="s">
        <v>221</v>
      </c>
      <c r="D22" s="810"/>
      <c r="E22" s="810"/>
      <c r="F22" s="810"/>
      <c r="G22" s="810"/>
      <c r="H22" s="810"/>
      <c r="I22" s="810"/>
      <c r="J22" s="810"/>
      <c r="K22" s="810"/>
      <c r="L22" s="810"/>
      <c r="M22" s="810"/>
      <c r="N22" s="810"/>
      <c r="O22" s="811"/>
      <c r="P22" s="817"/>
      <c r="Q22" s="818"/>
      <c r="R22" s="817"/>
      <c r="S22" s="818"/>
      <c r="T22" s="831" t="str">
        <f>IFERROR(INDEX(Paramètres!$E$5:$E$25,MATCH(Biodiversité!AF22,Paramètres!$G$5:$G$25,0)),"Unité non retrouvée")</f>
        <v>m linéaire</v>
      </c>
      <c r="U22" s="832"/>
      <c r="V22" s="6"/>
      <c r="W22" s="847">
        <f>IFERROR(IF(OR(T22="m linéaire",T22="arbre"),(P22*INDEX(Paramètres!$F$5:$F$25,MATCH(Biodiversité!AF22,Paramètres!$G$5:$G$25,0))) / 10000,P22*INDEX(Paramètres!$F$5:$F$25,MATCH(Biodiversité!AF22,Paramètres!$G$5:$G$25,0))),0)</f>
        <v>0</v>
      </c>
      <c r="X22" s="848"/>
      <c r="Y22" s="837">
        <f>IFERROR(IF(OR(T22="m linéaire",T22="arbre"),(R22*INDEX(Paramètres!$F$5:$F$25,MATCH(Biodiversité!AF22,Paramètres!$G$5:$G$25,0))) / 10000, R22*INDEX(Paramètres!$F$5:$F$25,MATCH(Biodiversité!AF22,Paramètres!$G$5:$G$25,0))),0)</f>
        <v>0</v>
      </c>
      <c r="Z22" s="838"/>
      <c r="AA22" s="22"/>
      <c r="AB22" s="6"/>
      <c r="AD22">
        <f>IF(R22&gt;0,INDEX(Paramètres!$H$5:$H$23,MATCH(AF22,Paramètres!$G$5:$G$23,0)),0)</f>
        <v>0</v>
      </c>
      <c r="AF22" s="110">
        <v>6</v>
      </c>
    </row>
    <row r="23" spans="2:32" ht="15" customHeight="1" x14ac:dyDescent="0.25">
      <c r="B23" s="21"/>
      <c r="C23" s="810" t="s">
        <v>222</v>
      </c>
      <c r="D23" s="810"/>
      <c r="E23" s="810"/>
      <c r="F23" s="810"/>
      <c r="G23" s="810"/>
      <c r="H23" s="810"/>
      <c r="I23" s="810"/>
      <c r="J23" s="810"/>
      <c r="K23" s="810"/>
      <c r="L23" s="810"/>
      <c r="M23" s="810"/>
      <c r="N23" s="810"/>
      <c r="O23" s="811"/>
      <c r="P23" s="817"/>
      <c r="Q23" s="818"/>
      <c r="R23" s="817"/>
      <c r="S23" s="818"/>
      <c r="T23" s="831" t="str">
        <f>IFERROR(INDEX(Paramètres!$E$5:$E$25,MATCH(Biodiversité!AF23,Paramètres!$G$5:$G$25,0)),"Unité non retrouvée")</f>
        <v>m linéaire</v>
      </c>
      <c r="U23" s="832"/>
      <c r="V23" s="6"/>
      <c r="W23" s="847">
        <f>IFERROR(IF(OR(T23="m linéaire",T23="arbre"),(P23*INDEX(Paramètres!$F$5:$F$25,MATCH(Biodiversité!AF23,Paramètres!$G$5:$G$25,0))) / 10000,P23*INDEX(Paramètres!$F$5:$F$25,MATCH(Biodiversité!AF23,Paramètres!$G$5:$G$25,0))),0)</f>
        <v>0</v>
      </c>
      <c r="X23" s="848"/>
      <c r="Y23" s="837">
        <f>IFERROR(IF(OR(T23="m linéaire",T23="arbre"),(R23*INDEX(Paramètres!$F$5:$F$25,MATCH(Biodiversité!AF23,Paramètres!$G$5:$G$25,0))) / 10000, R23*INDEX(Paramètres!$F$5:$F$25,MATCH(Biodiversité!AF23,Paramètres!$G$5:$G$25,0))),0)</f>
        <v>0</v>
      </c>
      <c r="Z23" s="838"/>
      <c r="AA23" s="22"/>
      <c r="AB23" s="6"/>
      <c r="AD23">
        <f>IF(R23&gt;0,INDEX(Paramètres!$H$5:$H$23,MATCH(AF23,Paramètres!$G$5:$G$23,0)),0)</f>
        <v>0</v>
      </c>
      <c r="AF23" s="110">
        <v>7</v>
      </c>
    </row>
    <row r="24" spans="2:32" ht="15" customHeight="1" x14ac:dyDescent="0.25">
      <c r="B24" s="21"/>
      <c r="C24" s="810" t="s">
        <v>2576</v>
      </c>
      <c r="D24" s="810"/>
      <c r="E24" s="810"/>
      <c r="F24" s="810"/>
      <c r="G24" s="810"/>
      <c r="H24" s="810"/>
      <c r="I24" s="810"/>
      <c r="J24" s="810"/>
      <c r="K24" s="810"/>
      <c r="L24" s="810"/>
      <c r="M24" s="810"/>
      <c r="N24" s="810"/>
      <c r="O24" s="811"/>
      <c r="P24" s="817"/>
      <c r="Q24" s="818"/>
      <c r="R24" s="851"/>
      <c r="S24" s="852"/>
      <c r="T24" s="831" t="str">
        <f>IFERROR(INDEX(Paramètres!$E$5:$E$25,MATCH(Biodiversité!AF24,Paramètres!$G$5:$G$25,0)),"Unité non retrouvée")</f>
        <v>m linéaire</v>
      </c>
      <c r="U24" s="832"/>
      <c r="V24" s="6"/>
      <c r="W24" s="847">
        <f>IFERROR(IF(OR(T24="m linéaire",T24="arbre"),(P24*INDEX(Paramètres!$F$5:$F$25,MATCH(Biodiversité!AF24,Paramètres!$G$5:$G$25,0))) / 10000,P24*INDEX(Paramètres!$F$5:$F$25,MATCH(Biodiversité!AF24,Paramètres!$G$5:$G$25,0))),0)</f>
        <v>0</v>
      </c>
      <c r="X24" s="848"/>
      <c r="Y24" s="853"/>
      <c r="Z24" s="854"/>
      <c r="AA24" s="22"/>
      <c r="AB24" s="6"/>
      <c r="AD24">
        <f>IF(R24&gt;0,INDEX(Paramètres!$H$5:$H$23,MATCH(AF24,Paramètres!$G$5:$G$23,0)),0)</f>
        <v>0</v>
      </c>
      <c r="AF24" s="110">
        <v>8</v>
      </c>
    </row>
    <row r="25" spans="2:32" x14ac:dyDescent="0.25">
      <c r="B25" s="21"/>
      <c r="C25" s="843" t="s">
        <v>2577</v>
      </c>
      <c r="D25" s="843"/>
      <c r="E25" s="843"/>
      <c r="F25" s="843"/>
      <c r="G25" s="843"/>
      <c r="H25" s="843"/>
      <c r="I25" s="843"/>
      <c r="J25" s="843"/>
      <c r="K25" s="843"/>
      <c r="L25" s="843"/>
      <c r="M25" s="843"/>
      <c r="N25" s="843"/>
      <c r="O25" s="844"/>
      <c r="P25" s="851"/>
      <c r="Q25" s="852"/>
      <c r="R25" s="817"/>
      <c r="S25" s="818"/>
      <c r="T25" s="831" t="str">
        <f>IFERROR(INDEX(Paramètres!$E$5:$E$25,MATCH(Biodiversité!AF25,Paramètres!$G$5:$G$25,0)),"Unité non retrouvée")</f>
        <v>m linéaire</v>
      </c>
      <c r="U25" s="832"/>
      <c r="V25" s="6"/>
      <c r="W25" s="849"/>
      <c r="X25" s="850"/>
      <c r="Y25" s="837">
        <f>IFERROR(IF(OR(T25="m linéaire",T25="arbre"),(R25*INDEX(Paramètres!$F$5:$F$25,MATCH(Biodiversité!AF25,Paramètres!$G$5:$G$25,0))) / 10000, R25*INDEX(Paramètres!$F$5:$F$25,MATCH(Biodiversité!AF25,Paramètres!$G$5:$G$25,0))),0)</f>
        <v>0</v>
      </c>
      <c r="Z25" s="838"/>
      <c r="AA25" s="22"/>
      <c r="AB25" s="6"/>
      <c r="AD25">
        <f>IF(R25&gt;0,INDEX(Paramètres!$H$5:$H$23,MATCH(AF25,Paramètres!$G$5:$G$23,0)),0)</f>
        <v>0</v>
      </c>
      <c r="AF25" s="110">
        <v>9</v>
      </c>
    </row>
    <row r="26" spans="2:32" ht="15" customHeight="1" x14ac:dyDescent="0.25">
      <c r="B26" s="21"/>
      <c r="C26" s="810" t="s">
        <v>225</v>
      </c>
      <c r="D26" s="810"/>
      <c r="E26" s="810"/>
      <c r="F26" s="810"/>
      <c r="G26" s="810"/>
      <c r="H26" s="810"/>
      <c r="I26" s="810"/>
      <c r="J26" s="810"/>
      <c r="K26" s="810"/>
      <c r="L26" s="810"/>
      <c r="M26" s="810"/>
      <c r="N26" s="810"/>
      <c r="O26" s="811"/>
      <c r="P26" s="817"/>
      <c r="Q26" s="818"/>
      <c r="R26" s="817"/>
      <c r="S26" s="818"/>
      <c r="T26" s="831" t="str">
        <f>IFERROR(INDEX(Paramètres!$E$5:$E$25,MATCH(Biodiversité!AF26,Paramètres!$G$5:$G$25,0)),"Unité non retrouvée")</f>
        <v>hectares</v>
      </c>
      <c r="U26" s="832"/>
      <c r="V26" s="6"/>
      <c r="W26" s="847">
        <f>IFERROR(IF(OR(T26="m linéaire",T26="arbre"),(P26*INDEX(Paramètres!$F$5:$F$25,MATCH(Biodiversité!AF26,Paramètres!$G$5:$G$25,0))) / 10000,P26*INDEX(Paramètres!$F$5:$F$25,MATCH(Biodiversité!AF26,Paramètres!$G$5:$G$25,0))),0)</f>
        <v>0</v>
      </c>
      <c r="X26" s="848"/>
      <c r="Y26" s="837">
        <f>IFERROR(IF(OR(T26="m linéaire",T26="arbre"),(R26*INDEX(Paramètres!$F$5:$F$25,MATCH(Biodiversité!AF26,Paramètres!$G$5:$G$25,0))) / 10000, R26*INDEX(Paramètres!$F$5:$F$25,MATCH(Biodiversité!AF26,Paramètres!$G$5:$G$25,0))),0)</f>
        <v>0</v>
      </c>
      <c r="Z26" s="838"/>
      <c r="AA26" s="22"/>
      <c r="AB26" s="6"/>
      <c r="AD26">
        <f>IF(R26&gt;0,INDEX(Paramètres!$H$5:$H$23,MATCH(AF26,Paramètres!$G$5:$G$23,0)),0)</f>
        <v>0</v>
      </c>
      <c r="AF26" s="110">
        <v>10</v>
      </c>
    </row>
    <row r="27" spans="2:32" ht="15" customHeight="1" x14ac:dyDescent="0.25">
      <c r="B27" s="21"/>
      <c r="C27" s="810" t="s">
        <v>226</v>
      </c>
      <c r="D27" s="810"/>
      <c r="E27" s="810"/>
      <c r="F27" s="810"/>
      <c r="G27" s="810"/>
      <c r="H27" s="810"/>
      <c r="I27" s="810"/>
      <c r="J27" s="810"/>
      <c r="K27" s="810"/>
      <c r="L27" s="810"/>
      <c r="M27" s="810"/>
      <c r="N27" s="810"/>
      <c r="O27" s="811"/>
      <c r="P27" s="817"/>
      <c r="Q27" s="818"/>
      <c r="R27" s="817"/>
      <c r="S27" s="818"/>
      <c r="T27" s="831" t="str">
        <f>IFERROR(INDEX(Paramètres!$E$5:$E$25,MATCH(Biodiversité!AF27,Paramètres!$G$5:$G$25,0)),"Unité non retrouvée")</f>
        <v>hectares</v>
      </c>
      <c r="U27" s="832"/>
      <c r="V27" s="6"/>
      <c r="W27" s="847">
        <f>IFERROR(IF(OR(T27="m linéaire",T27="arbre"),(P27*INDEX(Paramètres!$F$5:$F$25,MATCH(Biodiversité!AF27,Paramètres!$G$5:$G$25,0))) / 10000,P27*INDEX(Paramètres!$F$5:$F$25,MATCH(Biodiversité!AF27,Paramètres!$G$5:$G$25,0))),0)</f>
        <v>0</v>
      </c>
      <c r="X27" s="848"/>
      <c r="Y27" s="837">
        <f>IFERROR(IF(OR(T27="m linéaire",T27="arbre"),(R27*INDEX(Paramètres!$F$5:$F$25,MATCH(Biodiversité!AF27,Paramètres!$G$5:$G$25,0))) / 10000, R27*INDEX(Paramètres!$F$5:$F$25,MATCH(Biodiversité!AF27,Paramètres!$G$5:$G$25,0))),0)</f>
        <v>0</v>
      </c>
      <c r="Z27" s="838"/>
      <c r="AA27" s="22"/>
      <c r="AB27" s="6"/>
      <c r="AD27">
        <f>IF(R27&gt;0,INDEX(Paramètres!$H$5:$H$23,MATCH(AF27,Paramètres!$G$5:$G$23,0)),0)</f>
        <v>0</v>
      </c>
      <c r="AF27" s="110">
        <v>11</v>
      </c>
    </row>
    <row r="28" spans="2:32" ht="15" customHeight="1" x14ac:dyDescent="0.25">
      <c r="B28" s="21"/>
      <c r="C28" s="810" t="s">
        <v>227</v>
      </c>
      <c r="D28" s="810"/>
      <c r="E28" s="810"/>
      <c r="F28" s="810"/>
      <c r="G28" s="810"/>
      <c r="H28" s="810"/>
      <c r="I28" s="810"/>
      <c r="J28" s="810"/>
      <c r="K28" s="810"/>
      <c r="L28" s="810"/>
      <c r="M28" s="810"/>
      <c r="N28" s="810"/>
      <c r="O28" s="811"/>
      <c r="P28" s="868"/>
      <c r="Q28" s="869"/>
      <c r="R28" s="817"/>
      <c r="S28" s="818"/>
      <c r="T28" s="831" t="str">
        <f>IFERROR(INDEX(Paramètres!$E$5:$E$25,MATCH(Biodiversité!AF28,Paramètres!$G$5:$G$25,0)),"Unité non retrouvée")</f>
        <v>hectares</v>
      </c>
      <c r="U28" s="832"/>
      <c r="V28" s="6"/>
      <c r="W28" s="855"/>
      <c r="X28" s="856"/>
      <c r="Y28" s="837">
        <f>IFERROR(IF(OR(T28="m linéaire",T28="arbre"),(R28*INDEX(Paramètres!$F$5:$F$25,MATCH(Biodiversité!AF28,Paramètres!$G$5:$G$25,0))) / 10000, R28*INDEX(Paramètres!$F$5:$F$25,MATCH(Biodiversité!AF28,Paramètres!$G$5:$G$25,0))),0)</f>
        <v>0</v>
      </c>
      <c r="Z28" s="838"/>
      <c r="AA28" s="22"/>
      <c r="AB28" s="6"/>
      <c r="AD28">
        <f>IF(R28&gt;0,INDEX(Paramètres!$H$5:$H$23,MATCH(AF28,Paramètres!$G$5:$G$23,0)),0)</f>
        <v>0</v>
      </c>
      <c r="AF28" s="110">
        <v>12</v>
      </c>
    </row>
    <row r="29" spans="2:32" x14ac:dyDescent="0.25">
      <c r="B29" s="21"/>
      <c r="C29" s="821" t="s">
        <v>228</v>
      </c>
      <c r="D29" s="821"/>
      <c r="E29" s="821"/>
      <c r="F29" s="821"/>
      <c r="G29" s="821"/>
      <c r="H29" s="821"/>
      <c r="I29" s="821"/>
      <c r="J29" s="821"/>
      <c r="K29" s="821"/>
      <c r="L29" s="821"/>
      <c r="M29" s="821"/>
      <c r="N29" s="821"/>
      <c r="O29" s="822"/>
      <c r="P29" s="829"/>
      <c r="Q29" s="830"/>
      <c r="R29" s="817"/>
      <c r="S29" s="818"/>
      <c r="T29" s="831" t="str">
        <f>IFERROR(INDEX(Paramètres!$E$5:$E$25,MATCH(Biodiversité!AF29,Paramètres!$G$5:$G$25,0)),"Unité non retrouvée")</f>
        <v>hectares</v>
      </c>
      <c r="U29" s="832"/>
      <c r="V29" s="6"/>
      <c r="W29" s="839"/>
      <c r="X29" s="840"/>
      <c r="Y29" s="837">
        <f>IFERROR(IF(OR(T29="m linéaire",T29="arbre"),(R29*INDEX(Paramètres!$F$5:$F$25,MATCH(Biodiversité!AF29,Paramètres!$G$5:$G$25,0))) / 10000, R29*INDEX(Paramètres!$F$5:$F$25,MATCH(Biodiversité!AF29,Paramètres!$G$5:$G$25,0))),0)</f>
        <v>0</v>
      </c>
      <c r="Z29" s="838"/>
      <c r="AA29" s="22"/>
      <c r="AB29" s="6"/>
      <c r="AD29">
        <f>IF(R29&gt;0,INDEX(Paramètres!$H$5:$H$23,MATCH(AF29,Paramètres!$G$5:$G$23,0)),0)</f>
        <v>0</v>
      </c>
      <c r="AF29" s="110">
        <v>13</v>
      </c>
    </row>
    <row r="30" spans="2:32" ht="15" customHeight="1" x14ac:dyDescent="0.25">
      <c r="B30" s="21"/>
      <c r="C30" s="810" t="s">
        <v>229</v>
      </c>
      <c r="D30" s="810"/>
      <c r="E30" s="810"/>
      <c r="F30" s="810"/>
      <c r="G30" s="810"/>
      <c r="H30" s="810"/>
      <c r="I30" s="810"/>
      <c r="J30" s="810"/>
      <c r="K30" s="810"/>
      <c r="L30" s="810"/>
      <c r="M30" s="810"/>
      <c r="N30" s="810"/>
      <c r="O30" s="811"/>
      <c r="P30" s="829"/>
      <c r="Q30" s="830"/>
      <c r="R30" s="817"/>
      <c r="S30" s="818"/>
      <c r="T30" s="831" t="str">
        <f>IFERROR(INDEX(Paramètres!$E$5:$E$25,MATCH(Biodiversité!AF30,Paramètres!$G$5:$G$25,0)),"Unité non retrouvée")</f>
        <v>m linéaire</v>
      </c>
      <c r="U30" s="832"/>
      <c r="V30" s="6"/>
      <c r="W30" s="839"/>
      <c r="X30" s="840"/>
      <c r="Y30" s="837">
        <f>IFERROR(IF(OR(T30="m linéaire",T30="arbre"),(R30*INDEX(Paramètres!$F$5:$F$25,MATCH(Biodiversité!AF30,Paramètres!$G$5:$G$25,0))) / 10000, R30*INDEX(Paramètres!$F$5:$F$25,MATCH(Biodiversité!AF30,Paramètres!$G$5:$G$25,0))),0)</f>
        <v>0</v>
      </c>
      <c r="Z30" s="838"/>
      <c r="AA30" s="22"/>
      <c r="AB30" s="6"/>
      <c r="AD30">
        <f>IF(R30&gt;0,INDEX(Paramètres!$H$5:$H$23,MATCH(AF30,Paramètres!$G$5:$G$23,0)),0)</f>
        <v>0</v>
      </c>
      <c r="AF30" s="110">
        <v>14</v>
      </c>
    </row>
    <row r="31" spans="2:32" ht="15" customHeight="1" x14ac:dyDescent="0.25">
      <c r="B31" s="21"/>
      <c r="C31" s="810" t="s">
        <v>230</v>
      </c>
      <c r="D31" s="810"/>
      <c r="E31" s="810"/>
      <c r="F31" s="810"/>
      <c r="G31" s="810"/>
      <c r="H31" s="810"/>
      <c r="I31" s="810"/>
      <c r="J31" s="810"/>
      <c r="K31" s="810"/>
      <c r="L31" s="810"/>
      <c r="M31" s="810"/>
      <c r="N31" s="810"/>
      <c r="O31" s="811"/>
      <c r="P31" s="829"/>
      <c r="Q31" s="830"/>
      <c r="R31" s="817"/>
      <c r="S31" s="818"/>
      <c r="T31" s="831" t="str">
        <f>IFERROR(INDEX(Paramètres!$E$5:$E$25,MATCH(Biodiversité!AF31,Paramètres!$G$5:$G$25,0)),"Unité non retrouvée")</f>
        <v>hectares</v>
      </c>
      <c r="U31" s="832"/>
      <c r="V31" s="6"/>
      <c r="W31" s="839"/>
      <c r="X31" s="840"/>
      <c r="Y31" s="837">
        <f>IFERROR(IF(OR(T31="m linéaire",T31="arbre"),(R31*INDEX(Paramètres!$F$5:$F$25,MATCH(Biodiversité!AF31,Paramètres!$G$5:$G$25,0))) / 10000, R31*INDEX(Paramètres!$F$5:$F$25,MATCH(Biodiversité!AF31,Paramètres!$G$5:$G$25,0))),0)</f>
        <v>0</v>
      </c>
      <c r="Z31" s="838"/>
      <c r="AA31" s="22"/>
      <c r="AB31" s="6"/>
      <c r="AD31">
        <f>IF(R31&gt;0,INDEX(Paramètres!$H$5:$H$23,MATCH(AF31,Paramètres!$G$5:$G$23,0)),0)</f>
        <v>0</v>
      </c>
      <c r="AF31" s="110">
        <v>15</v>
      </c>
    </row>
    <row r="32" spans="2:32" ht="15" customHeight="1" x14ac:dyDescent="0.25">
      <c r="B32" s="21"/>
      <c r="C32" s="810" t="s">
        <v>231</v>
      </c>
      <c r="D32" s="810"/>
      <c r="E32" s="810"/>
      <c r="F32" s="810"/>
      <c r="G32" s="810"/>
      <c r="H32" s="810"/>
      <c r="I32" s="810"/>
      <c r="J32" s="810"/>
      <c r="K32" s="810"/>
      <c r="L32" s="810"/>
      <c r="M32" s="810"/>
      <c r="N32" s="810"/>
      <c r="O32" s="811"/>
      <c r="P32" s="829"/>
      <c r="Q32" s="830"/>
      <c r="R32" s="817"/>
      <c r="S32" s="818"/>
      <c r="T32" s="831" t="str">
        <f>IFERROR(INDEX(Paramètres!$E$5:$E$25,MATCH(Biodiversité!AF32,Paramètres!$G$5:$G$25,0)),"Unité non retrouvée")</f>
        <v>m linéaire</v>
      </c>
      <c r="U32" s="832"/>
      <c r="V32" s="6"/>
      <c r="W32" s="839"/>
      <c r="X32" s="840"/>
      <c r="Y32" s="837">
        <f>IFERROR(IF(OR(T32="m linéaire",T32="arbre"),(R32*INDEX(Paramètres!$F$5:$F$25,MATCH(Biodiversité!AF32,Paramètres!$G$5:$G$25,0))) / 10000, R32*INDEX(Paramètres!$F$5:$F$25,MATCH(Biodiversité!AF32,Paramètres!$G$5:$G$25,0))),0)</f>
        <v>0</v>
      </c>
      <c r="Z32" s="838"/>
      <c r="AA32" s="22"/>
      <c r="AB32" s="6"/>
      <c r="AD32">
        <f>IF(R32&gt;0,INDEX(Paramètres!$H$5:$H$23,MATCH(AF32,Paramètres!$G$5:$G$23,0)),0)</f>
        <v>0</v>
      </c>
      <c r="AF32" s="110">
        <v>16</v>
      </c>
    </row>
    <row r="33" spans="2:32" x14ac:dyDescent="0.25">
      <c r="B33" s="21"/>
      <c r="C33" s="810" t="s">
        <v>580</v>
      </c>
      <c r="D33" s="810"/>
      <c r="E33" s="810"/>
      <c r="F33" s="810"/>
      <c r="G33" s="810"/>
      <c r="H33" s="810"/>
      <c r="I33" s="810"/>
      <c r="J33" s="810"/>
      <c r="K33" s="810"/>
      <c r="L33" s="810"/>
      <c r="M33" s="810"/>
      <c r="N33" s="810"/>
      <c r="O33" s="811"/>
      <c r="P33" s="829"/>
      <c r="Q33" s="830"/>
      <c r="R33" s="817"/>
      <c r="S33" s="818"/>
      <c r="T33" s="831" t="str">
        <f>IFERROR(INDEX(Paramètres!$E$5:$E$25,MATCH(Biodiversité!AF33,Paramètres!$G$5:$G$25,0)),"Unité non retrouvée")</f>
        <v>hectares</v>
      </c>
      <c r="U33" s="832"/>
      <c r="V33" s="6"/>
      <c r="W33" s="839"/>
      <c r="X33" s="840"/>
      <c r="Y33" s="837">
        <f>IFERROR(IF(OR(T33="m linéaire",T33="arbre"),(R33*INDEX(Paramètres!$F$5:$F$25,MATCH(Biodiversité!AF33,Paramètres!$G$5:$G$25,0))) / 10000, R33*INDEX(Paramètres!$F$5:$F$25,MATCH(Biodiversité!AF33,Paramètres!$G$5:$G$25,0))),0)</f>
        <v>0</v>
      </c>
      <c r="Z33" s="838"/>
      <c r="AA33" s="22"/>
      <c r="AB33" s="6"/>
      <c r="AD33">
        <f>IF(R33&gt;0,INDEX(Paramètres!$H$5:$H$23,MATCH(AF33,Paramètres!$G$5:$G$23,0)),0)</f>
        <v>0</v>
      </c>
      <c r="AF33" s="110">
        <v>17</v>
      </c>
    </row>
    <row r="34" spans="2:32" x14ac:dyDescent="0.25">
      <c r="B34" s="21"/>
      <c r="C34" s="810" t="s">
        <v>2346</v>
      </c>
      <c r="D34" s="810"/>
      <c r="E34" s="810"/>
      <c r="F34" s="810"/>
      <c r="G34" s="810"/>
      <c r="H34" s="810"/>
      <c r="I34" s="810"/>
      <c r="J34" s="810"/>
      <c r="K34" s="810"/>
      <c r="L34" s="810"/>
      <c r="M34" s="810"/>
      <c r="N34" s="810"/>
      <c r="O34" s="811"/>
      <c r="P34" s="829"/>
      <c r="Q34" s="830"/>
      <c r="R34" s="817"/>
      <c r="S34" s="818"/>
      <c r="T34" s="831" t="str">
        <f>IFERROR(INDEX(Paramètres!$E$5:$E$25,MATCH(Biodiversité!AF34,Paramètres!$G$5:$G$25,0)),"Unité non retrouvée")</f>
        <v>m linéaire</v>
      </c>
      <c r="U34" s="832"/>
      <c r="V34" s="6"/>
      <c r="W34" s="839"/>
      <c r="X34" s="840"/>
      <c r="Y34" s="837">
        <f>IFERROR(IF(OR(T34="m linéaire",T34="arbre"),(R34*INDEX(Paramètres!$F$5:$F$25,MATCH(Biodiversité!AF34,Paramètres!$G$5:$G$25,0))) / 10000, R34*INDEX(Paramètres!$F$5:$F$25,MATCH(Biodiversité!AF34,Paramètres!$G$5:$G$25,0))),0)</f>
        <v>0</v>
      </c>
      <c r="Z34" s="838"/>
      <c r="AA34" s="22"/>
      <c r="AB34" s="6"/>
      <c r="AD34">
        <f>IF(R34&gt;0,INDEX(Paramètres!$H$5:$H$23,MATCH(AF34,Paramètres!$G$5:$G$23,0)),0)</f>
        <v>0</v>
      </c>
      <c r="AF34" s="193">
        <v>18</v>
      </c>
    </row>
    <row r="35" spans="2:32" x14ac:dyDescent="0.25">
      <c r="B35" s="21"/>
      <c r="C35" s="810" t="s">
        <v>2347</v>
      </c>
      <c r="D35" s="810"/>
      <c r="E35" s="810"/>
      <c r="F35" s="810"/>
      <c r="G35" s="810"/>
      <c r="H35" s="810"/>
      <c r="I35" s="810"/>
      <c r="J35" s="810"/>
      <c r="K35" s="810"/>
      <c r="L35" s="810"/>
      <c r="M35" s="810"/>
      <c r="N35" s="810"/>
      <c r="O35" s="811"/>
      <c r="P35" s="864"/>
      <c r="Q35" s="865"/>
      <c r="R35" s="817"/>
      <c r="S35" s="818"/>
      <c r="T35" s="831" t="str">
        <f>IFERROR(INDEX(Paramètres!$E$5:$E$25,MATCH(Biodiversité!AF35,Paramètres!$G$5:$G$25,0)),"Unité non retrouvée")</f>
        <v>m linéaire</v>
      </c>
      <c r="U35" s="832"/>
      <c r="V35" s="6"/>
      <c r="W35" s="866"/>
      <c r="X35" s="867"/>
      <c r="Y35" s="837">
        <f>IFERROR(IF(OR(T35="m linéaire",T35="arbre"),(R35*INDEX(Paramètres!$F$5:$F$25,MATCH(Biodiversité!AF35,Paramètres!$G$5:$G$25,0))) / 10000, R35*INDEX(Paramètres!$F$5:$F$25,MATCH(Biodiversité!AF35,Paramètres!$G$5:$G$25,0))),0)</f>
        <v>0</v>
      </c>
      <c r="Z35" s="838"/>
      <c r="AA35" s="22"/>
      <c r="AB35" s="6"/>
      <c r="AD35">
        <f>IF(R35&gt;0,INDEX(Paramètres!$H$5:$H$23,MATCH(AF35,Paramètres!$G$5:$G$23,0)),0)</f>
        <v>0</v>
      </c>
      <c r="AF35" s="440">
        <v>19</v>
      </c>
    </row>
    <row r="36" spans="2:32" x14ac:dyDescent="0.25">
      <c r="B36" s="21"/>
      <c r="C36" s="465" t="s">
        <v>2578</v>
      </c>
      <c r="D36" s="464"/>
      <c r="E36" s="464"/>
      <c r="F36" s="464"/>
      <c r="G36" s="464"/>
      <c r="H36" s="464"/>
      <c r="I36" s="464"/>
      <c r="J36" s="464"/>
      <c r="K36" s="464"/>
      <c r="L36" s="464"/>
      <c r="M36" s="464"/>
      <c r="N36" s="464"/>
      <c r="O36" s="464"/>
      <c r="P36" s="466"/>
      <c r="Q36" s="466"/>
      <c r="R36" s="466"/>
      <c r="S36" s="466"/>
      <c r="T36" s="440"/>
      <c r="U36" s="440"/>
      <c r="V36" s="42"/>
      <c r="W36" s="467"/>
      <c r="X36" s="467"/>
      <c r="Y36" s="467"/>
      <c r="Z36" s="467"/>
      <c r="AA36" s="22"/>
      <c r="AB36" s="6"/>
      <c r="AF36" s="440"/>
    </row>
    <row r="37" spans="2:32" x14ac:dyDescent="0.25">
      <c r="B37" s="21"/>
      <c r="C37" s="567" t="s">
        <v>2579</v>
      </c>
      <c r="D37" s="6"/>
      <c r="E37" s="6"/>
      <c r="F37" s="6"/>
      <c r="G37" s="6"/>
      <c r="H37" s="6"/>
      <c r="I37" s="6"/>
      <c r="J37" s="6"/>
      <c r="K37" s="6"/>
      <c r="L37" s="6"/>
      <c r="M37" s="6"/>
      <c r="N37" s="6"/>
      <c r="O37" s="6"/>
      <c r="P37" s="6"/>
      <c r="Q37" s="6"/>
      <c r="R37" s="6"/>
      <c r="S37" s="6"/>
      <c r="T37" s="6"/>
      <c r="U37" s="6"/>
      <c r="V37" s="6"/>
      <c r="W37" s="6"/>
      <c r="X37" s="6"/>
      <c r="Y37" s="6"/>
      <c r="Z37" s="6"/>
      <c r="AA37" s="22"/>
      <c r="AB37" s="21"/>
    </row>
    <row r="38" spans="2:32" x14ac:dyDescent="0.25">
      <c r="B38" s="21"/>
      <c r="D38" s="6"/>
      <c r="E38" s="6"/>
      <c r="F38" s="6"/>
      <c r="G38" s="6"/>
      <c r="H38" s="6"/>
      <c r="I38" s="6"/>
      <c r="J38" s="6"/>
      <c r="K38" s="6"/>
      <c r="L38" s="6"/>
      <c r="M38" s="6"/>
      <c r="N38" s="6"/>
      <c r="O38" s="6"/>
      <c r="P38" s="6"/>
      <c r="Q38" s="6"/>
      <c r="R38" s="6"/>
      <c r="S38" s="6"/>
      <c r="T38" s="6"/>
      <c r="U38" s="6"/>
      <c r="V38" s="6"/>
      <c r="W38" s="6"/>
      <c r="X38" s="6"/>
      <c r="Y38" s="6"/>
      <c r="Z38" s="6"/>
      <c r="AA38" s="22"/>
      <c r="AB38" s="21"/>
    </row>
    <row r="39" spans="2:32" x14ac:dyDescent="0.25">
      <c r="B39" s="21"/>
      <c r="C39" s="6"/>
      <c r="D39" s="6"/>
      <c r="E39" s="6"/>
      <c r="F39" s="6"/>
      <c r="G39" s="6"/>
      <c r="H39" s="6"/>
      <c r="I39" s="6"/>
      <c r="J39" s="6"/>
      <c r="K39" s="6"/>
      <c r="N39" s="6"/>
      <c r="O39" s="6"/>
      <c r="P39" s="6"/>
      <c r="Q39" s="6"/>
      <c r="R39" s="6"/>
      <c r="S39" s="6"/>
      <c r="T39" s="6"/>
      <c r="U39" s="6"/>
      <c r="V39" s="6"/>
      <c r="W39" s="741" t="s">
        <v>245</v>
      </c>
      <c r="X39" s="741"/>
      <c r="Y39" s="6"/>
      <c r="Z39" s="6"/>
      <c r="AA39" s="22"/>
      <c r="AB39" s="21"/>
    </row>
    <row r="40" spans="2:32" x14ac:dyDescent="0.25">
      <c r="B40" s="21"/>
      <c r="C40" s="6"/>
      <c r="D40" s="6"/>
      <c r="E40" s="46" t="s">
        <v>308</v>
      </c>
      <c r="F40" s="6"/>
      <c r="G40" s="6"/>
      <c r="H40" s="6"/>
      <c r="I40" s="6"/>
      <c r="J40" s="6"/>
      <c r="K40" s="6"/>
      <c r="N40" s="6"/>
      <c r="O40" s="6"/>
      <c r="P40" s="6"/>
      <c r="Q40" s="6"/>
      <c r="R40" s="6"/>
      <c r="S40" s="6"/>
      <c r="T40" s="6"/>
      <c r="U40" s="6"/>
      <c r="V40" s="6"/>
      <c r="W40" s="6"/>
      <c r="X40" s="6"/>
      <c r="Y40" s="6"/>
      <c r="Z40" s="6"/>
      <c r="AA40" s="22"/>
      <c r="AB40" s="21" t="s">
        <v>390</v>
      </c>
    </row>
    <row r="41" spans="2:32" x14ac:dyDescent="0.25">
      <c r="B41" s="21"/>
      <c r="C41" s="6"/>
      <c r="D41" s="6"/>
      <c r="E41" s="46" t="s">
        <v>429</v>
      </c>
      <c r="F41" s="6"/>
      <c r="G41" s="6"/>
      <c r="H41" s="6"/>
      <c r="I41" s="6"/>
      <c r="J41" s="6"/>
      <c r="K41" s="6"/>
      <c r="N41" s="6"/>
      <c r="O41" s="6"/>
      <c r="P41" s="6"/>
      <c r="Q41" s="6"/>
      <c r="R41" s="6"/>
      <c r="S41" s="6"/>
      <c r="T41" s="6"/>
      <c r="U41" s="6"/>
      <c r="V41" s="6"/>
      <c r="W41" s="835" t="str">
        <f>IFERROR(IF(OR(T42&lt;10,T43&gt;0.75,T44&gt;0.75),"NON","OUI"),"")</f>
        <v>OUI</v>
      </c>
      <c r="X41" s="836"/>
      <c r="Y41" s="173"/>
      <c r="Z41" s="6"/>
      <c r="AA41" s="22"/>
      <c r="AB41" s="21"/>
    </row>
    <row r="42" spans="2:32" x14ac:dyDescent="0.25">
      <c r="B42" s="21"/>
      <c r="C42" s="6"/>
      <c r="D42" s="6"/>
      <c r="E42" s="46"/>
      <c r="F42" s="70" t="s">
        <v>2573</v>
      </c>
      <c r="G42" s="6"/>
      <c r="H42" s="6"/>
      <c r="I42" s="6"/>
      <c r="J42" s="6"/>
      <c r="K42" s="6"/>
      <c r="N42" s="6"/>
      <c r="O42" s="6"/>
      <c r="P42" s="6"/>
      <c r="Q42" s="6"/>
      <c r="R42" s="6"/>
      <c r="S42" s="6"/>
      <c r="T42" s="823">
        <f>T47</f>
        <v>10</v>
      </c>
      <c r="U42" s="824"/>
      <c r="V42" s="6"/>
      <c r="W42" s="70"/>
      <c r="X42" s="6"/>
      <c r="Y42" s="6"/>
      <c r="Z42" s="6"/>
      <c r="AA42" s="22"/>
      <c r="AB42" s="21"/>
    </row>
    <row r="43" spans="2:32" x14ac:dyDescent="0.25">
      <c r="B43" s="21"/>
      <c r="C43" s="6"/>
      <c r="D43" s="6"/>
      <c r="E43" s="46"/>
      <c r="F43" s="70" t="s">
        <v>430</v>
      </c>
      <c r="G43" s="6"/>
      <c r="H43" s="6"/>
      <c r="I43" s="6"/>
      <c r="J43" s="6"/>
      <c r="K43" s="6"/>
      <c r="N43" s="6"/>
      <c r="O43" s="6"/>
      <c r="P43" s="6"/>
      <c r="Q43" s="6"/>
      <c r="R43" s="6"/>
      <c r="S43" s="6"/>
      <c r="T43" s="804">
        <f>IFERROR((SUM(Surfaces!O115:O119)+Surfaces!O96+Surfaces!O97+Surfaces!O94+Surfaces!O95+Surfaces!O105+Surfaces!O103+Surfaces!O104)/T47,0)</f>
        <v>0</v>
      </c>
      <c r="U43" s="825"/>
      <c r="V43" s="6"/>
      <c r="W43" s="173"/>
      <c r="X43" s="6"/>
      <c r="Y43" s="6"/>
      <c r="Z43" s="6"/>
      <c r="AA43" s="22"/>
      <c r="AB43" s="21"/>
    </row>
    <row r="44" spans="2:32" x14ac:dyDescent="0.25">
      <c r="B44" s="21"/>
      <c r="C44" s="6"/>
      <c r="D44" s="6"/>
      <c r="E44" s="46"/>
      <c r="F44" s="70" t="s">
        <v>431</v>
      </c>
      <c r="G44" s="6"/>
      <c r="H44" s="6"/>
      <c r="I44" s="6"/>
      <c r="J44" s="6"/>
      <c r="K44" s="6"/>
      <c r="N44" s="6"/>
      <c r="O44" s="6"/>
      <c r="P44" s="6"/>
      <c r="Q44" s="6"/>
      <c r="R44" s="6"/>
      <c r="S44" s="6"/>
      <c r="T44" s="804">
        <f>IF(cSAU=0,0,SUM(Surfaces!O115:O122,Surfaces!O82)/Surfaces!O24)</f>
        <v>0</v>
      </c>
      <c r="U44" s="825"/>
      <c r="V44" s="6"/>
      <c r="W44" s="173"/>
      <c r="X44" s="6"/>
      <c r="Y44" s="6"/>
      <c r="Z44" s="6"/>
      <c r="AA44" s="22"/>
      <c r="AB44" s="21"/>
    </row>
    <row r="45" spans="2:32" x14ac:dyDescent="0.25">
      <c r="B45" s="21"/>
      <c r="C45" s="6"/>
      <c r="D45" s="6"/>
      <c r="E45" s="46"/>
      <c r="F45" s="70"/>
      <c r="G45" s="6"/>
      <c r="H45" s="6"/>
      <c r="I45" s="6"/>
      <c r="J45" s="6"/>
      <c r="K45" s="6"/>
      <c r="N45" s="6"/>
      <c r="O45" s="6"/>
      <c r="P45" s="6"/>
      <c r="Q45" s="6"/>
      <c r="R45" s="6"/>
      <c r="S45" s="6"/>
      <c r="T45" s="172"/>
      <c r="U45" s="172"/>
      <c r="V45" s="6"/>
      <c r="W45" s="6"/>
      <c r="X45" s="6"/>
      <c r="Y45" s="6"/>
      <c r="Z45" s="6"/>
      <c r="AA45" s="22"/>
      <c r="AB45" s="21"/>
    </row>
    <row r="46" spans="2:32" x14ac:dyDescent="0.25">
      <c r="B46" s="21"/>
      <c r="C46" s="6"/>
      <c r="D46" s="6"/>
      <c r="E46" s="124" t="s">
        <v>721</v>
      </c>
      <c r="F46" s="51"/>
      <c r="G46" s="51"/>
      <c r="H46" s="51"/>
      <c r="I46" s="51"/>
      <c r="J46" s="51"/>
      <c r="K46" s="51"/>
      <c r="L46" s="51"/>
      <c r="M46" s="51"/>
      <c r="N46" s="51"/>
      <c r="O46" s="51"/>
      <c r="P46" s="51"/>
      <c r="Q46" s="51"/>
      <c r="R46" s="51"/>
      <c r="S46" s="47"/>
      <c r="T46" s="823">
        <f>SUM(W17:X35)</f>
        <v>0</v>
      </c>
      <c r="U46" s="824"/>
      <c r="V46" s="6"/>
      <c r="W46" s="6"/>
      <c r="X46" s="6"/>
      <c r="Y46" s="6"/>
      <c r="Z46" s="6"/>
      <c r="AA46" s="22"/>
      <c r="AB46" s="21"/>
    </row>
    <row r="47" spans="2:32" x14ac:dyDescent="0.25">
      <c r="B47" s="21"/>
      <c r="C47" s="6"/>
      <c r="D47" s="6"/>
      <c r="E47" s="126" t="s">
        <v>581</v>
      </c>
      <c r="F47" s="52"/>
      <c r="G47" s="52"/>
      <c r="H47" s="52"/>
      <c r="I47" s="52"/>
      <c r="J47" s="52"/>
      <c r="K47" s="52"/>
      <c r="L47" s="52"/>
      <c r="M47" s="52"/>
      <c r="N47" s="52"/>
      <c r="O47" s="52"/>
      <c r="P47" s="52"/>
      <c r="Q47" s="52"/>
      <c r="R47" s="52"/>
      <c r="S47" s="48"/>
      <c r="T47" s="823">
        <f>SUM(Surfaces!O77:O83)+SUM(Surfaces!O87:O90)+SUM(Surfaces!O94:O97)+Surfaces!O101+SUM(Surfaces!O109:O111)+SUM(Surfaces!O127:O128)+SUM(Surfaces!O132:O135)+SUM(Surfaces!O115:O119)+Surfaces!O103+Surfaces!O104</f>
        <v>10</v>
      </c>
      <c r="U47" s="824"/>
      <c r="V47" s="6"/>
      <c r="W47" s="6"/>
      <c r="X47" s="6"/>
      <c r="Y47" s="6"/>
      <c r="Z47" s="6"/>
      <c r="AA47" s="22"/>
      <c r="AB47" s="21"/>
    </row>
    <row r="48" spans="2:32" x14ac:dyDescent="0.25">
      <c r="B48" s="21"/>
      <c r="C48" s="6"/>
      <c r="D48" s="6"/>
      <c r="E48" s="126" t="s">
        <v>246</v>
      </c>
      <c r="F48" s="52"/>
      <c r="G48" s="52"/>
      <c r="H48" s="52"/>
      <c r="I48" s="52"/>
      <c r="J48" s="52"/>
      <c r="K48" s="52"/>
      <c r="L48" s="52"/>
      <c r="M48" s="52"/>
      <c r="N48" s="52"/>
      <c r="O48" s="52"/>
      <c r="P48" s="52"/>
      <c r="Q48" s="52"/>
      <c r="R48" s="52"/>
      <c r="S48" s="48"/>
      <c r="T48" s="796">
        <f>IFERROR(T46/T47,0)</f>
        <v>0</v>
      </c>
      <c r="U48" s="797"/>
      <c r="V48" s="6"/>
      <c r="W48" s="835" t="str">
        <f>IF(W41="NON","NON CONCERNÉE",IF(T48&lt;0.04,"KO","OK"))</f>
        <v>KO</v>
      </c>
      <c r="X48" s="836"/>
      <c r="Y48" s="6"/>
      <c r="Z48" s="6"/>
      <c r="AA48" s="22"/>
      <c r="AB48" s="21"/>
    </row>
    <row r="49" spans="2:28" x14ac:dyDescent="0.25">
      <c r="B49" s="21"/>
      <c r="C49" s="6"/>
      <c r="D49" s="6"/>
      <c r="E49" s="70"/>
      <c r="F49" s="6"/>
      <c r="G49" s="6"/>
      <c r="H49" s="6"/>
      <c r="I49" s="6"/>
      <c r="J49" s="6"/>
      <c r="K49" s="6"/>
      <c r="L49" s="6"/>
      <c r="M49" s="6"/>
      <c r="N49" s="6"/>
      <c r="O49" s="6"/>
      <c r="P49" s="6"/>
      <c r="Q49" s="6"/>
      <c r="R49" s="6"/>
      <c r="S49" s="6"/>
      <c r="T49" s="166"/>
      <c r="U49" s="166"/>
      <c r="V49" s="42"/>
      <c r="W49" s="440"/>
      <c r="X49" s="440"/>
      <c r="Y49" s="6"/>
      <c r="Z49" s="6"/>
      <c r="AA49" s="22"/>
      <c r="AB49" s="21"/>
    </row>
    <row r="50" spans="2:28" s="76" customFormat="1" x14ac:dyDescent="0.25">
      <c r="B50" s="90"/>
      <c r="C50" s="42"/>
      <c r="D50" s="42"/>
      <c r="E50" s="46" t="s">
        <v>2349</v>
      </c>
      <c r="F50" s="42"/>
      <c r="G50" s="42"/>
      <c r="H50" s="42"/>
      <c r="I50" s="42"/>
      <c r="K50" s="42"/>
      <c r="N50" s="42"/>
      <c r="O50" s="42"/>
      <c r="P50" s="42"/>
      <c r="Q50" s="42"/>
      <c r="R50" s="42"/>
      <c r="S50" s="42"/>
      <c r="T50" s="85"/>
      <c r="U50" s="85"/>
      <c r="V50" s="42"/>
      <c r="W50" s="85"/>
      <c r="X50" s="85"/>
      <c r="Y50" s="42"/>
      <c r="Z50" s="42"/>
      <c r="AA50" s="92"/>
      <c r="AB50" s="90"/>
    </row>
    <row r="51" spans="2:28" s="76" customFormat="1" x14ac:dyDescent="0.25">
      <c r="B51" s="90"/>
      <c r="C51" s="42"/>
      <c r="D51" s="42"/>
      <c r="E51" s="171" t="s">
        <v>722</v>
      </c>
      <c r="F51" s="213"/>
      <c r="G51" s="213"/>
      <c r="H51" s="213"/>
      <c r="I51" s="213"/>
      <c r="J51" s="213"/>
      <c r="K51" s="213"/>
      <c r="L51" s="213"/>
      <c r="M51" s="213"/>
      <c r="N51" s="213"/>
      <c r="O51" s="213"/>
      <c r="P51" s="213"/>
      <c r="Q51" s="213"/>
      <c r="R51" s="213"/>
      <c r="S51" s="214"/>
      <c r="T51" s="802">
        <f>SUM(Y17:Z35)</f>
        <v>0</v>
      </c>
      <c r="U51" s="803"/>
      <c r="V51" s="42"/>
      <c r="W51" s="190"/>
      <c r="X51" s="190"/>
      <c r="Y51" s="42"/>
      <c r="Z51" s="42"/>
      <c r="AA51" s="92"/>
      <c r="AB51" s="90"/>
    </row>
    <row r="52" spans="2:28" x14ac:dyDescent="0.25">
      <c r="B52" s="21"/>
      <c r="C52" s="6"/>
      <c r="D52" s="6"/>
      <c r="E52" s="215" t="s">
        <v>389</v>
      </c>
      <c r="F52" s="52"/>
      <c r="G52" s="52"/>
      <c r="H52" s="52"/>
      <c r="I52" s="52"/>
      <c r="J52" s="52"/>
      <c r="K52" s="52"/>
      <c r="L52" s="52"/>
      <c r="M52" s="52"/>
      <c r="N52" s="52"/>
      <c r="O52" s="52"/>
      <c r="P52" s="52"/>
      <c r="Q52" s="52"/>
      <c r="R52" s="52"/>
      <c r="S52" s="48"/>
      <c r="T52" s="802">
        <f>Surfaces!O22</f>
        <v>10</v>
      </c>
      <c r="U52" s="803"/>
      <c r="V52" s="6"/>
      <c r="W52" s="6"/>
      <c r="X52" s="6"/>
      <c r="Y52" s="6"/>
      <c r="Z52" s="6"/>
      <c r="AA52" s="22"/>
      <c r="AB52" s="21"/>
    </row>
    <row r="53" spans="2:28" x14ac:dyDescent="0.25">
      <c r="B53" s="21"/>
      <c r="C53" s="6"/>
      <c r="D53" s="6"/>
      <c r="E53" s="126" t="s">
        <v>2350</v>
      </c>
      <c r="F53" s="52"/>
      <c r="G53" s="52"/>
      <c r="H53" s="52"/>
      <c r="I53" s="52"/>
      <c r="J53" s="52"/>
      <c r="K53" s="52"/>
      <c r="L53" s="52"/>
      <c r="M53" s="52"/>
      <c r="N53" s="52"/>
      <c r="O53" s="52"/>
      <c r="P53" s="52"/>
      <c r="Q53" s="52"/>
      <c r="R53" s="52"/>
      <c r="S53" s="48"/>
      <c r="T53" s="796">
        <f>IFERROR(T51/T52,0)</f>
        <v>0</v>
      </c>
      <c r="U53" s="797"/>
      <c r="V53" s="6"/>
      <c r="W53" s="784">
        <f>IF(W48="NON CONCERNÉE",IF(T53&gt;=0.1,7,IF(T53&gt;=0.09,6,IF(T53&gt;=0.08,5,IF(T53&gt;=0.07,4,IF(T53&gt;=0.06,3,IF(T53&gt;=0.05,2,IF(T53&gt;=0.04,1,0))))))),IF(T48&gt;0.04,IF(T53&gt;=0.1,7,IF(T53&gt;=0.09,6,IF(T53&gt;=0.08,5,IF(T53&gt;=0.07,4,IF(T53&gt;=0.06,3,IF(T53&gt;=0.05,2,IF(T53&gt;=0.04,1,0))))))),0))</f>
        <v>0</v>
      </c>
      <c r="X53" s="785"/>
      <c r="AA53" s="22"/>
      <c r="AB53" s="21"/>
    </row>
    <row r="54" spans="2:28" x14ac:dyDescent="0.25">
      <c r="B54" s="21"/>
      <c r="C54" s="6"/>
      <c r="D54" s="6"/>
      <c r="E54" s="70"/>
      <c r="F54" s="6"/>
      <c r="G54" s="6"/>
      <c r="H54" s="6"/>
      <c r="I54" s="6"/>
      <c r="J54" s="6"/>
      <c r="K54" s="6"/>
      <c r="L54" s="6"/>
      <c r="M54" s="6"/>
      <c r="N54" s="6"/>
      <c r="O54" s="6"/>
      <c r="P54" s="6"/>
      <c r="Q54" s="6"/>
      <c r="R54" s="6"/>
      <c r="S54" s="6"/>
      <c r="T54" s="166"/>
      <c r="U54" s="166"/>
      <c r="V54" s="42"/>
      <c r="W54" s="471"/>
      <c r="X54" s="471"/>
      <c r="AA54" s="22"/>
      <c r="AB54" s="21"/>
    </row>
    <row r="55" spans="2:28" x14ac:dyDescent="0.25">
      <c r="B55" s="21"/>
      <c r="C55" s="6"/>
      <c r="D55" s="6"/>
      <c r="E55" s="46" t="s">
        <v>2351</v>
      </c>
      <c r="F55" s="6"/>
      <c r="G55" s="6"/>
      <c r="H55" s="6"/>
      <c r="I55" s="6"/>
      <c r="K55" s="6"/>
      <c r="N55" s="6"/>
      <c r="O55" s="6"/>
      <c r="P55" s="6"/>
      <c r="Q55" s="6"/>
      <c r="R55" s="6"/>
      <c r="S55" s="6"/>
      <c r="T55" s="6"/>
      <c r="U55" s="6"/>
      <c r="V55" s="6"/>
      <c r="W55" s="6"/>
      <c r="X55" s="6"/>
      <c r="AA55" s="22"/>
      <c r="AB55" s="21"/>
    </row>
    <row r="56" spans="2:28" x14ac:dyDescent="0.25">
      <c r="B56" s="21"/>
      <c r="C56" s="6"/>
      <c r="D56" s="6"/>
      <c r="E56" s="124" t="s">
        <v>2352</v>
      </c>
      <c r="F56" s="51"/>
      <c r="G56" s="51"/>
      <c r="H56" s="51"/>
      <c r="I56" s="51"/>
      <c r="J56" s="51"/>
      <c r="K56" s="51"/>
      <c r="L56" s="51"/>
      <c r="M56" s="51"/>
      <c r="N56" s="51"/>
      <c r="O56" s="51"/>
      <c r="P56" s="51"/>
      <c r="Q56" s="51"/>
      <c r="R56" s="51"/>
      <c r="S56" s="47"/>
      <c r="T56" s="802" cm="1">
        <f t="array" ref="T56">SUM(IF(ISTEXT($AD$17:$AD$35),1/COUNTIF($AD$17:$AD$35,$AD$17:$AD$35),""))</f>
        <v>0</v>
      </c>
      <c r="U56" s="803"/>
      <c r="V56" s="6"/>
      <c r="W56" s="784">
        <f>IFERROR(IF(AND(T48&lt;4%,W48="KO"),0,IF(T56&gt;=3,2,0)),"")</f>
        <v>0</v>
      </c>
      <c r="X56" s="785"/>
      <c r="AA56" s="22"/>
      <c r="AB56" s="21"/>
    </row>
    <row r="57" spans="2:28" x14ac:dyDescent="0.25">
      <c r="B57" s="21"/>
      <c r="C57" s="6"/>
      <c r="D57" s="6"/>
      <c r="E57" s="6"/>
      <c r="F57" s="6"/>
      <c r="G57" s="6"/>
      <c r="H57" s="6"/>
      <c r="I57" s="6"/>
      <c r="J57" s="6"/>
      <c r="K57" s="6"/>
      <c r="L57" s="6"/>
      <c r="M57" s="6"/>
      <c r="N57" s="6"/>
      <c r="O57" s="6"/>
      <c r="P57" s="6"/>
      <c r="Q57" s="6"/>
      <c r="R57" s="6"/>
      <c r="S57" s="6"/>
      <c r="T57" s="6"/>
      <c r="U57" s="6"/>
      <c r="V57" s="6"/>
      <c r="W57" s="6"/>
      <c r="X57" s="6"/>
      <c r="Y57" s="770" t="s">
        <v>723</v>
      </c>
      <c r="Z57" s="770"/>
      <c r="AA57" s="22"/>
      <c r="AB57" s="21"/>
    </row>
    <row r="58" spans="2:28" x14ac:dyDescent="0.25">
      <c r="B58" s="21"/>
      <c r="C58" s="6"/>
      <c r="D58" s="6"/>
      <c r="E58" s="472" t="s">
        <v>2353</v>
      </c>
      <c r="F58" s="51"/>
      <c r="G58" s="51"/>
      <c r="H58" s="51"/>
      <c r="I58" s="51"/>
      <c r="J58" s="51"/>
      <c r="K58" s="51"/>
      <c r="L58" s="51"/>
      <c r="M58" s="51"/>
      <c r="N58" s="51"/>
      <c r="O58" s="51"/>
      <c r="P58" s="51"/>
      <c r="Q58" s="51"/>
      <c r="R58" s="51"/>
      <c r="S58" s="51"/>
      <c r="T58" s="51"/>
      <c r="U58" s="51"/>
      <c r="V58" s="6"/>
      <c r="W58" s="784">
        <f>W53+W56</f>
        <v>0</v>
      </c>
      <c r="X58" s="785"/>
      <c r="Y58" s="800">
        <v>9</v>
      </c>
      <c r="Z58" s="801"/>
      <c r="AA58" s="22"/>
      <c r="AB58" s="21"/>
    </row>
    <row r="59" spans="2:28" x14ac:dyDescent="0.25">
      <c r="B59" s="21"/>
      <c r="C59" s="6"/>
      <c r="D59" s="6"/>
      <c r="E59" s="6"/>
      <c r="F59" s="6"/>
      <c r="G59" s="6"/>
      <c r="H59" s="6"/>
      <c r="I59" s="6"/>
      <c r="J59" s="6"/>
      <c r="K59" s="6"/>
      <c r="L59" s="6"/>
      <c r="M59" s="6"/>
      <c r="N59" s="6"/>
      <c r="O59" s="6"/>
      <c r="P59" s="6"/>
      <c r="Q59" s="6"/>
      <c r="R59" s="6"/>
      <c r="S59" s="6"/>
      <c r="T59" s="6"/>
      <c r="U59" s="6"/>
      <c r="V59" s="6"/>
      <c r="W59" s="6"/>
      <c r="X59" s="6"/>
      <c r="Y59" s="6"/>
      <c r="Z59" s="6"/>
      <c r="AA59" s="22"/>
      <c r="AB59" s="21"/>
    </row>
    <row r="60" spans="2:28" x14ac:dyDescent="0.25">
      <c r="B60" s="21"/>
      <c r="C60" s="6"/>
      <c r="D60" s="6"/>
      <c r="E60" s="171" t="s">
        <v>724</v>
      </c>
      <c r="F60" s="51"/>
      <c r="G60" s="51"/>
      <c r="H60" s="51"/>
      <c r="I60" s="51"/>
      <c r="J60" s="51"/>
      <c r="K60" s="51"/>
      <c r="L60" s="51"/>
      <c r="M60" s="51"/>
      <c r="N60" s="51"/>
      <c r="O60" s="51"/>
      <c r="P60" s="51"/>
      <c r="Q60" s="51"/>
      <c r="R60" s="51"/>
      <c r="S60" s="47"/>
      <c r="T60" s="794"/>
      <c r="U60" s="795"/>
      <c r="V60" s="6"/>
      <c r="W60" s="6"/>
      <c r="X60" s="6"/>
      <c r="Y60" s="6"/>
      <c r="Z60" s="6"/>
      <c r="AA60" s="22"/>
      <c r="AB60" s="21"/>
    </row>
    <row r="61" spans="2:28" x14ac:dyDescent="0.25">
      <c r="B61" s="21"/>
      <c r="C61" s="6"/>
      <c r="D61" s="6"/>
      <c r="E61" s="6"/>
      <c r="F61" s="6"/>
      <c r="G61" s="6"/>
      <c r="H61" s="6"/>
      <c r="I61" s="6"/>
      <c r="J61" s="6"/>
      <c r="K61" s="6"/>
      <c r="L61" s="6"/>
      <c r="M61" s="6"/>
      <c r="N61" s="6"/>
      <c r="O61" s="6"/>
      <c r="P61" s="6"/>
      <c r="Q61" s="6"/>
      <c r="R61" s="6"/>
      <c r="S61" s="6"/>
      <c r="T61" s="6"/>
      <c r="U61" s="6"/>
      <c r="V61" s="6"/>
      <c r="W61" s="6"/>
      <c r="X61" s="6"/>
      <c r="Y61" s="6"/>
      <c r="Z61" s="6"/>
      <c r="AA61" s="22"/>
      <c r="AB61" s="21"/>
    </row>
    <row r="62" spans="2:28" x14ac:dyDescent="0.25">
      <c r="B62" s="21"/>
      <c r="D62" s="6"/>
      <c r="E62" s="102" t="s">
        <v>2532</v>
      </c>
      <c r="F62" s="6"/>
      <c r="G62" s="6"/>
      <c r="H62" s="6"/>
      <c r="I62" s="6"/>
      <c r="J62" s="6"/>
      <c r="K62" s="6"/>
      <c r="L62" s="6"/>
      <c r="M62" s="6"/>
      <c r="N62" s="6"/>
      <c r="O62" s="6"/>
      <c r="P62" s="6"/>
      <c r="Q62" s="6"/>
      <c r="R62" s="6"/>
      <c r="S62" s="6"/>
      <c r="T62" s="6"/>
      <c r="U62" s="6"/>
      <c r="V62" s="6"/>
      <c r="W62" s="6"/>
      <c r="X62" s="6"/>
      <c r="Y62" s="6"/>
      <c r="Z62" s="6"/>
      <c r="AA62" s="22"/>
      <c r="AB62" s="21"/>
    </row>
    <row r="63" spans="2:28" x14ac:dyDescent="0.25">
      <c r="B63" s="21"/>
      <c r="C63" s="6"/>
      <c r="D63" s="6"/>
      <c r="E63" s="757"/>
      <c r="F63" s="758"/>
      <c r="G63" s="758"/>
      <c r="H63" s="758"/>
      <c r="I63" s="758"/>
      <c r="J63" s="758"/>
      <c r="K63" s="758"/>
      <c r="L63" s="758"/>
      <c r="M63" s="758"/>
      <c r="N63" s="758"/>
      <c r="O63" s="758"/>
      <c r="P63" s="758"/>
      <c r="Q63" s="758"/>
      <c r="R63" s="758"/>
      <c r="S63" s="758"/>
      <c r="T63" s="758"/>
      <c r="U63" s="758"/>
      <c r="V63" s="758"/>
      <c r="W63" s="758"/>
      <c r="X63" s="758"/>
      <c r="Y63" s="759"/>
      <c r="Z63" s="6"/>
      <c r="AA63" s="22"/>
      <c r="AB63" s="21"/>
    </row>
    <row r="64" spans="2:28" x14ac:dyDescent="0.25">
      <c r="B64" s="21"/>
      <c r="C64" s="6"/>
      <c r="D64" s="6"/>
      <c r="E64" s="760"/>
      <c r="F64" s="761"/>
      <c r="G64" s="761"/>
      <c r="H64" s="761"/>
      <c r="I64" s="761"/>
      <c r="J64" s="761"/>
      <c r="K64" s="761"/>
      <c r="L64" s="761"/>
      <c r="M64" s="761"/>
      <c r="N64" s="761"/>
      <c r="O64" s="761"/>
      <c r="P64" s="761"/>
      <c r="Q64" s="761"/>
      <c r="R64" s="761"/>
      <c r="S64" s="761"/>
      <c r="T64" s="761"/>
      <c r="U64" s="761"/>
      <c r="V64" s="761"/>
      <c r="W64" s="761"/>
      <c r="X64" s="761"/>
      <c r="Y64" s="762"/>
      <c r="Z64" s="6"/>
      <c r="AA64" s="22"/>
      <c r="AB64" s="21"/>
    </row>
    <row r="65" spans="2:28" x14ac:dyDescent="0.25">
      <c r="B65" s="21"/>
      <c r="C65" s="6"/>
      <c r="D65" s="6"/>
      <c r="E65" s="760"/>
      <c r="F65" s="761"/>
      <c r="G65" s="761"/>
      <c r="H65" s="761"/>
      <c r="I65" s="761"/>
      <c r="J65" s="761"/>
      <c r="K65" s="761"/>
      <c r="L65" s="761"/>
      <c r="M65" s="761"/>
      <c r="N65" s="761"/>
      <c r="O65" s="761"/>
      <c r="P65" s="761"/>
      <c r="Q65" s="761"/>
      <c r="R65" s="761"/>
      <c r="S65" s="761"/>
      <c r="T65" s="761"/>
      <c r="U65" s="761"/>
      <c r="V65" s="761"/>
      <c r="W65" s="761"/>
      <c r="X65" s="761"/>
      <c r="Y65" s="762"/>
      <c r="Z65" s="6"/>
      <c r="AA65" s="22"/>
      <c r="AB65" s="21"/>
    </row>
    <row r="66" spans="2:28" x14ac:dyDescent="0.25">
      <c r="B66" s="21"/>
      <c r="C66" s="6"/>
      <c r="D66" s="6"/>
      <c r="E66" s="760"/>
      <c r="F66" s="761"/>
      <c r="G66" s="761"/>
      <c r="H66" s="761"/>
      <c r="I66" s="761"/>
      <c r="J66" s="761"/>
      <c r="K66" s="761"/>
      <c r="L66" s="761"/>
      <c r="M66" s="761"/>
      <c r="N66" s="761"/>
      <c r="O66" s="761"/>
      <c r="P66" s="761"/>
      <c r="Q66" s="761"/>
      <c r="R66" s="761"/>
      <c r="S66" s="761"/>
      <c r="T66" s="761"/>
      <c r="U66" s="761"/>
      <c r="V66" s="761"/>
      <c r="W66" s="761"/>
      <c r="X66" s="761"/>
      <c r="Y66" s="762"/>
      <c r="Z66" s="6"/>
      <c r="AA66" s="22"/>
      <c r="AB66" s="21"/>
    </row>
    <row r="67" spans="2:28" x14ac:dyDescent="0.25">
      <c r="B67" s="21"/>
      <c r="C67" s="6"/>
      <c r="D67" s="6"/>
      <c r="E67" s="760"/>
      <c r="F67" s="761"/>
      <c r="G67" s="761"/>
      <c r="H67" s="761"/>
      <c r="I67" s="761"/>
      <c r="J67" s="761"/>
      <c r="K67" s="761"/>
      <c r="L67" s="761"/>
      <c r="M67" s="761"/>
      <c r="N67" s="761"/>
      <c r="O67" s="761"/>
      <c r="P67" s="761"/>
      <c r="Q67" s="761"/>
      <c r="R67" s="761"/>
      <c r="S67" s="761"/>
      <c r="T67" s="761"/>
      <c r="U67" s="761"/>
      <c r="V67" s="761"/>
      <c r="W67" s="761"/>
      <c r="X67" s="761"/>
      <c r="Y67" s="762"/>
      <c r="Z67" s="6"/>
      <c r="AA67" s="22"/>
      <c r="AB67" s="21"/>
    </row>
    <row r="68" spans="2:28" x14ac:dyDescent="0.25">
      <c r="B68" s="21"/>
      <c r="C68" s="6"/>
      <c r="D68" s="6"/>
      <c r="E68" s="760"/>
      <c r="F68" s="761"/>
      <c r="G68" s="761"/>
      <c r="H68" s="761"/>
      <c r="I68" s="761"/>
      <c r="J68" s="761"/>
      <c r="K68" s="761"/>
      <c r="L68" s="761"/>
      <c r="M68" s="761"/>
      <c r="N68" s="761"/>
      <c r="O68" s="761"/>
      <c r="P68" s="761"/>
      <c r="Q68" s="761"/>
      <c r="R68" s="761"/>
      <c r="S68" s="761"/>
      <c r="T68" s="761"/>
      <c r="U68" s="761"/>
      <c r="V68" s="761"/>
      <c r="W68" s="761"/>
      <c r="X68" s="761"/>
      <c r="Y68" s="762"/>
      <c r="Z68" s="6"/>
      <c r="AA68" s="22"/>
      <c r="AB68" s="21"/>
    </row>
    <row r="69" spans="2:28" x14ac:dyDescent="0.25">
      <c r="B69" s="21"/>
      <c r="C69" s="6"/>
      <c r="D69" s="6"/>
      <c r="E69" s="760"/>
      <c r="F69" s="761"/>
      <c r="G69" s="761"/>
      <c r="H69" s="761"/>
      <c r="I69" s="761"/>
      <c r="J69" s="761"/>
      <c r="K69" s="761"/>
      <c r="L69" s="761"/>
      <c r="M69" s="761"/>
      <c r="N69" s="761"/>
      <c r="O69" s="761"/>
      <c r="P69" s="761"/>
      <c r="Q69" s="761"/>
      <c r="R69" s="761"/>
      <c r="S69" s="761"/>
      <c r="T69" s="761"/>
      <c r="U69" s="761"/>
      <c r="V69" s="761"/>
      <c r="W69" s="761"/>
      <c r="X69" s="761"/>
      <c r="Y69" s="762"/>
      <c r="Z69" s="6"/>
      <c r="AA69" s="22"/>
      <c r="AB69" s="21"/>
    </row>
    <row r="70" spans="2:28" x14ac:dyDescent="0.25">
      <c r="B70" s="21"/>
      <c r="C70" s="6"/>
      <c r="D70" s="6"/>
      <c r="E70" s="760"/>
      <c r="F70" s="761"/>
      <c r="G70" s="761"/>
      <c r="H70" s="761"/>
      <c r="I70" s="761"/>
      <c r="J70" s="761"/>
      <c r="K70" s="761"/>
      <c r="L70" s="761"/>
      <c r="M70" s="761"/>
      <c r="N70" s="761"/>
      <c r="O70" s="761"/>
      <c r="P70" s="761"/>
      <c r="Q70" s="761"/>
      <c r="R70" s="761"/>
      <c r="S70" s="761"/>
      <c r="T70" s="761"/>
      <c r="U70" s="761"/>
      <c r="V70" s="761"/>
      <c r="W70" s="761"/>
      <c r="X70" s="761"/>
      <c r="Y70" s="762"/>
      <c r="Z70" s="6"/>
      <c r="AA70" s="22"/>
      <c r="AB70" s="21"/>
    </row>
    <row r="71" spans="2:28" x14ac:dyDescent="0.25">
      <c r="B71" s="21"/>
      <c r="C71" s="6"/>
      <c r="D71" s="6"/>
      <c r="E71" s="760"/>
      <c r="F71" s="761"/>
      <c r="G71" s="761"/>
      <c r="H71" s="761"/>
      <c r="I71" s="761"/>
      <c r="J71" s="761"/>
      <c r="K71" s="761"/>
      <c r="L71" s="761"/>
      <c r="M71" s="761"/>
      <c r="N71" s="761"/>
      <c r="O71" s="761"/>
      <c r="P71" s="761"/>
      <c r="Q71" s="761"/>
      <c r="R71" s="761"/>
      <c r="S71" s="761"/>
      <c r="T71" s="761"/>
      <c r="U71" s="761"/>
      <c r="V71" s="761"/>
      <c r="W71" s="761"/>
      <c r="X71" s="761"/>
      <c r="Y71" s="762"/>
      <c r="Z71" s="6"/>
      <c r="AA71" s="22"/>
      <c r="AB71" s="21"/>
    </row>
    <row r="72" spans="2:28" x14ac:dyDescent="0.25">
      <c r="B72" s="21"/>
      <c r="C72" s="6"/>
      <c r="D72" s="6"/>
      <c r="E72" s="763"/>
      <c r="F72" s="764"/>
      <c r="G72" s="764"/>
      <c r="H72" s="764"/>
      <c r="I72" s="764"/>
      <c r="J72" s="764"/>
      <c r="K72" s="764"/>
      <c r="L72" s="764"/>
      <c r="M72" s="764"/>
      <c r="N72" s="764"/>
      <c r="O72" s="764"/>
      <c r="P72" s="764"/>
      <c r="Q72" s="764"/>
      <c r="R72" s="764"/>
      <c r="S72" s="764"/>
      <c r="T72" s="764"/>
      <c r="U72" s="764"/>
      <c r="V72" s="764"/>
      <c r="W72" s="764"/>
      <c r="X72" s="764"/>
      <c r="Y72" s="765"/>
      <c r="Z72" s="6"/>
      <c r="AA72" s="22"/>
      <c r="AB72" s="21"/>
    </row>
    <row r="73" spans="2:28" x14ac:dyDescent="0.25">
      <c r="B73" s="21"/>
      <c r="C73" s="6"/>
      <c r="D73" s="6"/>
      <c r="E73" s="6"/>
      <c r="F73" s="6"/>
      <c r="G73" s="6"/>
      <c r="H73" s="6"/>
      <c r="I73" s="6"/>
      <c r="J73" s="6"/>
      <c r="K73" s="6"/>
      <c r="L73" s="6"/>
      <c r="M73" s="6"/>
      <c r="N73" s="6"/>
      <c r="O73" s="6"/>
      <c r="P73" s="6"/>
      <c r="Q73" s="6"/>
      <c r="R73" s="6"/>
      <c r="S73" s="6"/>
      <c r="T73" s="6"/>
      <c r="U73" s="6"/>
      <c r="V73" s="6"/>
      <c r="W73" s="6"/>
      <c r="X73" s="6"/>
      <c r="Y73" s="6"/>
      <c r="Z73" s="6"/>
      <c r="AA73" s="22"/>
      <c r="AB73" s="21"/>
    </row>
    <row r="74" spans="2:28" ht="15.75" thickBot="1" x14ac:dyDescent="0.3">
      <c r="B74" s="24"/>
      <c r="C74" s="25"/>
      <c r="D74" s="25"/>
      <c r="E74" s="25"/>
      <c r="F74" s="25"/>
      <c r="G74" s="25"/>
      <c r="H74" s="25"/>
      <c r="I74" s="25"/>
      <c r="J74" s="25"/>
      <c r="K74" s="25"/>
      <c r="L74" s="25"/>
      <c r="M74" s="25"/>
      <c r="N74" s="25"/>
      <c r="O74" s="25"/>
      <c r="P74" s="25"/>
      <c r="Q74" s="25"/>
      <c r="R74" s="25"/>
      <c r="S74" s="25"/>
      <c r="T74" s="25"/>
      <c r="U74" s="25"/>
      <c r="V74" s="25"/>
      <c r="W74" s="25"/>
      <c r="X74" s="25"/>
      <c r="Y74" s="25"/>
      <c r="Z74" s="25"/>
      <c r="AA74" s="26"/>
      <c r="AB74" s="21"/>
    </row>
    <row r="78" spans="2:28" ht="15.75" thickBot="1" x14ac:dyDescent="0.3"/>
    <row r="79" spans="2:28" x14ac:dyDescent="0.25">
      <c r="B79" s="93"/>
      <c r="C79" s="94"/>
      <c r="D79" s="94"/>
      <c r="E79" s="94"/>
      <c r="F79" s="94"/>
      <c r="G79" s="94"/>
      <c r="H79" s="94"/>
      <c r="I79" s="94"/>
      <c r="J79" s="94"/>
      <c r="K79" s="94"/>
      <c r="L79" s="94"/>
      <c r="M79" s="94"/>
      <c r="N79" s="94"/>
      <c r="O79" s="94"/>
      <c r="P79" s="94"/>
      <c r="Q79" s="94"/>
      <c r="R79" s="94"/>
      <c r="S79" s="94"/>
      <c r="T79" s="94"/>
      <c r="U79" s="94"/>
      <c r="V79" s="94"/>
      <c r="W79" s="94"/>
      <c r="X79" s="94"/>
      <c r="Y79" s="94"/>
      <c r="Z79" s="94"/>
      <c r="AA79" s="95"/>
    </row>
    <row r="80" spans="2:28" x14ac:dyDescent="0.25">
      <c r="B80" s="96"/>
      <c r="C80" s="6"/>
      <c r="D80" s="6"/>
      <c r="E80" s="6"/>
      <c r="F80" s="6"/>
      <c r="G80" s="6"/>
      <c r="H80" s="6"/>
      <c r="I80" s="6"/>
      <c r="J80" s="6"/>
      <c r="K80" s="6"/>
      <c r="N80" s="6"/>
      <c r="O80" s="6"/>
      <c r="P80" s="6"/>
      <c r="Q80" s="6"/>
      <c r="R80" s="6"/>
      <c r="S80" s="741" t="s">
        <v>245</v>
      </c>
      <c r="T80" s="741"/>
      <c r="U80" s="6"/>
      <c r="V80" s="6"/>
      <c r="W80" s="6"/>
      <c r="X80" s="6"/>
      <c r="Y80" s="6"/>
      <c r="Z80" s="6"/>
      <c r="AA80" s="55"/>
    </row>
    <row r="81" spans="2:31" x14ac:dyDescent="0.25">
      <c r="B81" s="96"/>
      <c r="C81" s="46"/>
      <c r="D81" s="6"/>
      <c r="R81" s="6"/>
      <c r="S81" s="6"/>
      <c r="T81" s="6"/>
      <c r="U81" s="6"/>
      <c r="V81" s="6"/>
      <c r="W81" s="6"/>
      <c r="X81" s="6"/>
      <c r="Y81" s="6"/>
      <c r="Z81" s="6"/>
      <c r="AA81" s="55"/>
    </row>
    <row r="82" spans="2:31" x14ac:dyDescent="0.25">
      <c r="B82" s="96"/>
      <c r="C82" s="6"/>
      <c r="E82" s="124" t="s">
        <v>2354</v>
      </c>
      <c r="F82" s="51"/>
      <c r="G82" s="51"/>
      <c r="H82" s="51"/>
      <c r="I82" s="51"/>
      <c r="J82" s="51"/>
      <c r="K82" s="537"/>
      <c r="L82" s="51"/>
      <c r="M82" s="51"/>
      <c r="N82" s="51"/>
      <c r="O82" s="47"/>
      <c r="P82" s="827"/>
      <c r="Q82" s="828"/>
      <c r="R82" s="6"/>
      <c r="S82" s="473" t="str">
        <f>IF(P82&gt;(Surfaces!O24-(SUM(Surfaces!O120:O122))),"Attention : surface saisie &gt; SAU hors prairies permanentes","")</f>
        <v/>
      </c>
      <c r="T82" s="433"/>
      <c r="U82" s="6"/>
      <c r="V82" s="6"/>
      <c r="W82" s="6"/>
      <c r="X82" s="6"/>
      <c r="Y82" s="6"/>
      <c r="Z82" s="6"/>
      <c r="AA82" s="55"/>
    </row>
    <row r="83" spans="2:31" s="499" customFormat="1" x14ac:dyDescent="0.25">
      <c r="B83" s="96"/>
      <c r="C83" s="6"/>
      <c r="E83" s="126" t="s">
        <v>462</v>
      </c>
      <c r="F83" s="52"/>
      <c r="G83" s="52"/>
      <c r="H83" s="52"/>
      <c r="I83" s="51"/>
      <c r="J83" s="51"/>
      <c r="K83" s="537"/>
      <c r="L83" s="51"/>
      <c r="M83" s="51"/>
      <c r="N83" s="51"/>
      <c r="O83" s="47"/>
      <c r="P83" s="833">
        <f>SUM(Surfaces!O120:O122)</f>
        <v>0</v>
      </c>
      <c r="Q83" s="834"/>
      <c r="R83" s="6"/>
      <c r="S83" s="473"/>
      <c r="T83" s="433"/>
      <c r="U83" s="6"/>
      <c r="V83" s="6"/>
      <c r="W83" s="6"/>
      <c r="X83" s="6"/>
      <c r="Y83" s="6"/>
      <c r="Z83" s="6"/>
      <c r="AA83" s="55"/>
    </row>
    <row r="84" spans="2:31" x14ac:dyDescent="0.25">
      <c r="B84" s="96"/>
      <c r="C84" s="6"/>
      <c r="E84" s="124" t="s">
        <v>725</v>
      </c>
      <c r="F84" s="51"/>
      <c r="G84" s="51"/>
      <c r="H84" s="51"/>
      <c r="I84" s="51"/>
      <c r="J84" s="51"/>
      <c r="K84" s="51"/>
      <c r="L84" s="51"/>
      <c r="M84" s="51"/>
      <c r="N84" s="51"/>
      <c r="O84" s="47"/>
      <c r="P84" s="802">
        <f>Surfaces!O24</f>
        <v>10</v>
      </c>
      <c r="Q84" s="787"/>
      <c r="R84" s="6"/>
      <c r="T84" s="473"/>
      <c r="U84" s="6"/>
      <c r="V84" s="6"/>
      <c r="W84" s="6"/>
      <c r="X84" s="6"/>
      <c r="Y84" s="6"/>
      <c r="Z84" s="6"/>
      <c r="AA84" s="55"/>
    </row>
    <row r="85" spans="2:31" x14ac:dyDescent="0.25">
      <c r="B85" s="96"/>
      <c r="C85" s="6"/>
      <c r="E85" s="126" t="s">
        <v>257</v>
      </c>
      <c r="F85" s="52"/>
      <c r="G85" s="52"/>
      <c r="H85" s="52"/>
      <c r="I85" s="52"/>
      <c r="J85" s="52"/>
      <c r="K85" s="216"/>
      <c r="L85" s="52"/>
      <c r="M85" s="52"/>
      <c r="N85" s="52"/>
      <c r="O85" s="48"/>
      <c r="P85" s="796">
        <f>IFERROR((P82+P83)/P84,0)</f>
        <v>0</v>
      </c>
      <c r="Q85" s="797"/>
      <c r="R85" s="6"/>
      <c r="S85" s="784">
        <f>IF(P85&gt;=0.8,5,IF(P85&gt;=0.7,4,IF(P85&gt;=0.6,3,IF(P85&gt;=0.5,2,IF(P85&gt;=0.4,1,0)))))</f>
        <v>0</v>
      </c>
      <c r="T85" s="785"/>
      <c r="U85" s="6"/>
      <c r="V85" s="6"/>
      <c r="W85" s="800">
        <v>5</v>
      </c>
      <c r="X85" s="801"/>
      <c r="Y85" s="6"/>
      <c r="Z85" s="6"/>
      <c r="AA85" s="55"/>
      <c r="AC85" s="390"/>
      <c r="AE85">
        <f>MIN(ROUNDUP(MAX(P85-40%,0)/10%,0),5)</f>
        <v>0</v>
      </c>
    </row>
    <row r="86" spans="2:31" x14ac:dyDescent="0.25">
      <c r="B86" s="96"/>
      <c r="C86" s="6"/>
      <c r="D86" s="6"/>
      <c r="E86" s="6"/>
      <c r="F86" s="6"/>
      <c r="G86" s="6"/>
      <c r="H86" s="6"/>
      <c r="I86" s="6"/>
      <c r="J86" s="6"/>
      <c r="K86" s="6"/>
      <c r="L86" s="6"/>
      <c r="M86" s="6"/>
      <c r="N86" s="6"/>
      <c r="O86" s="6"/>
      <c r="P86" s="6"/>
      <c r="Q86" s="6"/>
      <c r="R86" s="6"/>
      <c r="S86" s="6"/>
      <c r="T86" s="6"/>
      <c r="U86" s="6"/>
      <c r="V86" s="6"/>
      <c r="W86" s="6"/>
      <c r="X86" s="6"/>
      <c r="Y86" s="6"/>
      <c r="Z86" s="6"/>
      <c r="AA86" s="55"/>
    </row>
    <row r="87" spans="2:31" x14ac:dyDescent="0.25">
      <c r="B87" s="96"/>
      <c r="C87" s="6"/>
      <c r="D87" s="6"/>
      <c r="E87" s="102" t="s">
        <v>2532</v>
      </c>
      <c r="F87" s="6"/>
      <c r="G87" s="6"/>
      <c r="H87" s="6"/>
      <c r="I87" s="6"/>
      <c r="J87" s="6"/>
      <c r="K87" s="6"/>
      <c r="L87" s="6"/>
      <c r="M87" s="6"/>
      <c r="N87" s="6"/>
      <c r="O87" s="6"/>
      <c r="P87" s="6"/>
      <c r="Q87" s="6"/>
      <c r="R87" s="6"/>
      <c r="S87" s="6"/>
      <c r="T87" s="6"/>
      <c r="U87" s="6"/>
      <c r="V87" s="6"/>
      <c r="W87" s="6"/>
      <c r="X87" s="6"/>
      <c r="Y87" s="6"/>
      <c r="Z87" s="6"/>
      <c r="AA87" s="55"/>
    </row>
    <row r="88" spans="2:31" x14ac:dyDescent="0.25">
      <c r="B88" s="96"/>
      <c r="C88" s="6"/>
      <c r="D88" s="6"/>
      <c r="E88" s="757"/>
      <c r="F88" s="758"/>
      <c r="G88" s="758"/>
      <c r="H88" s="758"/>
      <c r="I88" s="758"/>
      <c r="J88" s="758"/>
      <c r="K88" s="758"/>
      <c r="L88" s="758"/>
      <c r="M88" s="758"/>
      <c r="N88" s="758"/>
      <c r="O88" s="758"/>
      <c r="P88" s="758"/>
      <c r="Q88" s="758"/>
      <c r="R88" s="758"/>
      <c r="S88" s="758"/>
      <c r="T88" s="758"/>
      <c r="U88" s="758"/>
      <c r="V88" s="758"/>
      <c r="W88" s="758"/>
      <c r="X88" s="758"/>
      <c r="Y88" s="759"/>
      <c r="Z88" s="6"/>
      <c r="AA88" s="55"/>
    </row>
    <row r="89" spans="2:31" x14ac:dyDescent="0.25">
      <c r="B89" s="96"/>
      <c r="C89" s="6"/>
      <c r="D89" s="6"/>
      <c r="E89" s="760"/>
      <c r="F89" s="761"/>
      <c r="G89" s="761"/>
      <c r="H89" s="761"/>
      <c r="I89" s="761"/>
      <c r="J89" s="761"/>
      <c r="K89" s="761"/>
      <c r="L89" s="761"/>
      <c r="M89" s="761"/>
      <c r="N89" s="761"/>
      <c r="O89" s="761"/>
      <c r="P89" s="761"/>
      <c r="Q89" s="761"/>
      <c r="R89" s="761"/>
      <c r="S89" s="761"/>
      <c r="T89" s="761"/>
      <c r="U89" s="761"/>
      <c r="V89" s="761"/>
      <c r="W89" s="761"/>
      <c r="X89" s="761"/>
      <c r="Y89" s="762"/>
      <c r="Z89" s="6"/>
      <c r="AA89" s="55"/>
    </row>
    <row r="90" spans="2:31" x14ac:dyDescent="0.25">
      <c r="B90" s="96"/>
      <c r="C90" s="6"/>
      <c r="D90" s="6"/>
      <c r="E90" s="760"/>
      <c r="F90" s="761"/>
      <c r="G90" s="761"/>
      <c r="H90" s="761"/>
      <c r="I90" s="761"/>
      <c r="J90" s="761"/>
      <c r="K90" s="761"/>
      <c r="L90" s="761"/>
      <c r="M90" s="761"/>
      <c r="N90" s="761"/>
      <c r="O90" s="761"/>
      <c r="P90" s="761"/>
      <c r="Q90" s="761"/>
      <c r="R90" s="761"/>
      <c r="S90" s="761"/>
      <c r="T90" s="761"/>
      <c r="U90" s="761"/>
      <c r="V90" s="761"/>
      <c r="W90" s="761"/>
      <c r="X90" s="761"/>
      <c r="Y90" s="762"/>
      <c r="Z90" s="6"/>
      <c r="AA90" s="55"/>
    </row>
    <row r="91" spans="2:31" x14ac:dyDescent="0.25">
      <c r="B91" s="96"/>
      <c r="C91" s="6"/>
      <c r="D91" s="6"/>
      <c r="E91" s="760"/>
      <c r="F91" s="761"/>
      <c r="G91" s="761"/>
      <c r="H91" s="761"/>
      <c r="I91" s="761"/>
      <c r="J91" s="761"/>
      <c r="K91" s="761"/>
      <c r="L91" s="761"/>
      <c r="M91" s="761"/>
      <c r="N91" s="761"/>
      <c r="O91" s="761"/>
      <c r="P91" s="761"/>
      <c r="Q91" s="761"/>
      <c r="R91" s="761"/>
      <c r="S91" s="761"/>
      <c r="T91" s="761"/>
      <c r="U91" s="761"/>
      <c r="V91" s="761"/>
      <c r="W91" s="761"/>
      <c r="X91" s="761"/>
      <c r="Y91" s="762"/>
      <c r="Z91" s="6"/>
      <c r="AA91" s="55"/>
    </row>
    <row r="92" spans="2:31" x14ac:dyDescent="0.25">
      <c r="B92" s="96"/>
      <c r="C92" s="6"/>
      <c r="D92" s="6"/>
      <c r="E92" s="763"/>
      <c r="F92" s="764"/>
      <c r="G92" s="764"/>
      <c r="H92" s="764"/>
      <c r="I92" s="764"/>
      <c r="J92" s="764"/>
      <c r="K92" s="764"/>
      <c r="L92" s="764"/>
      <c r="M92" s="764"/>
      <c r="N92" s="764"/>
      <c r="O92" s="764"/>
      <c r="P92" s="764"/>
      <c r="Q92" s="764"/>
      <c r="R92" s="764"/>
      <c r="S92" s="764"/>
      <c r="T92" s="764"/>
      <c r="U92" s="764"/>
      <c r="V92" s="764"/>
      <c r="W92" s="764"/>
      <c r="X92" s="764"/>
      <c r="Y92" s="765"/>
      <c r="Z92" s="6"/>
      <c r="AA92" s="55"/>
    </row>
    <row r="93" spans="2:31" x14ac:dyDescent="0.25">
      <c r="B93" s="96"/>
      <c r="C93" s="6"/>
      <c r="D93" s="6"/>
      <c r="E93" s="6"/>
      <c r="F93" s="6"/>
      <c r="G93" s="6"/>
      <c r="H93" s="6"/>
      <c r="I93" s="6"/>
      <c r="J93" s="6"/>
      <c r="K93" s="6"/>
      <c r="L93" s="6"/>
      <c r="M93" s="6"/>
      <c r="N93" s="6"/>
      <c r="O93" s="6"/>
      <c r="P93" s="6"/>
      <c r="Q93" s="6"/>
      <c r="R93" s="6"/>
      <c r="S93" s="6"/>
      <c r="T93" s="6"/>
      <c r="U93" s="6"/>
      <c r="V93" s="6"/>
      <c r="W93" s="6"/>
      <c r="X93" s="6"/>
      <c r="Y93" s="6"/>
      <c r="Z93" s="6"/>
      <c r="AA93" s="55"/>
    </row>
    <row r="94" spans="2:31" ht="15.75" thickBot="1" x14ac:dyDescent="0.3">
      <c r="B94" s="97"/>
      <c r="C94" s="98"/>
      <c r="D94" s="98"/>
      <c r="E94" s="98"/>
      <c r="F94" s="98"/>
      <c r="G94" s="98"/>
      <c r="H94" s="98"/>
      <c r="I94" s="98"/>
      <c r="J94" s="98"/>
      <c r="K94" s="98"/>
      <c r="L94" s="98"/>
      <c r="M94" s="98"/>
      <c r="N94" s="98"/>
      <c r="O94" s="98"/>
      <c r="P94" s="98"/>
      <c r="Q94" s="98"/>
      <c r="R94" s="98"/>
      <c r="S94" s="98"/>
      <c r="T94" s="98"/>
      <c r="U94" s="98"/>
      <c r="V94" s="98"/>
      <c r="W94" s="98"/>
      <c r="X94" s="98"/>
      <c r="Y94" s="98"/>
      <c r="Z94" s="98"/>
      <c r="AA94" s="54"/>
    </row>
    <row r="97" spans="2:27" ht="15.75" thickBot="1" x14ac:dyDescent="0.3"/>
    <row r="98" spans="2:27" x14ac:dyDescent="0.25">
      <c r="B98" s="18"/>
      <c r="C98" s="19"/>
      <c r="D98" s="19"/>
      <c r="E98" s="19"/>
      <c r="F98" s="19"/>
      <c r="G98" s="19"/>
      <c r="H98" s="19"/>
      <c r="I98" s="19"/>
      <c r="J98" s="19"/>
      <c r="K98" s="19"/>
      <c r="L98" s="19"/>
      <c r="M98" s="19"/>
      <c r="N98" s="19"/>
      <c r="O98" s="19"/>
      <c r="P98" s="19"/>
      <c r="Q98" s="19"/>
      <c r="R98" s="19"/>
      <c r="S98" s="19"/>
      <c r="T98" s="19"/>
      <c r="U98" s="19"/>
      <c r="V98" s="19"/>
      <c r="W98" s="19"/>
      <c r="X98" s="19"/>
      <c r="Y98" s="19"/>
      <c r="Z98" s="19"/>
      <c r="AA98" s="20"/>
    </row>
    <row r="99" spans="2:27" x14ac:dyDescent="0.25">
      <c r="B99" s="21"/>
      <c r="C99" s="6"/>
      <c r="D99" s="6"/>
      <c r="E99" s="6"/>
      <c r="F99" s="6"/>
      <c r="G99" s="6"/>
      <c r="H99" s="6"/>
      <c r="I99" s="6"/>
      <c r="J99" s="6"/>
      <c r="K99" s="6"/>
      <c r="L99" s="6"/>
      <c r="M99" s="6"/>
      <c r="N99" s="6"/>
      <c r="O99" s="6"/>
      <c r="P99" s="6"/>
      <c r="Q99" s="6"/>
      <c r="R99" s="6"/>
      <c r="S99" s="6"/>
      <c r="T99" s="6"/>
      <c r="U99" s="6"/>
      <c r="V99" s="6"/>
      <c r="W99" s="6"/>
      <c r="X99" s="6"/>
      <c r="Y99" s="6"/>
      <c r="Z99" s="6"/>
      <c r="AA99" s="22"/>
    </row>
    <row r="100" spans="2:27" x14ac:dyDescent="0.25">
      <c r="B100" s="21"/>
      <c r="C100" s="6" t="s">
        <v>2355</v>
      </c>
      <c r="D100" s="6"/>
      <c r="E100" s="6"/>
      <c r="F100" s="6"/>
      <c r="G100" s="6"/>
      <c r="H100" s="6"/>
      <c r="I100" s="6"/>
      <c r="J100" s="6"/>
      <c r="K100" s="6"/>
      <c r="L100" s="6"/>
      <c r="M100" s="6"/>
      <c r="N100" s="6"/>
      <c r="O100" s="6"/>
      <c r="P100" s="6"/>
      <c r="Q100" s="6"/>
      <c r="R100" s="6"/>
      <c r="S100" s="6"/>
      <c r="T100" s="6"/>
      <c r="U100" s="6"/>
      <c r="V100" s="6"/>
      <c r="W100" s="6"/>
      <c r="X100" s="6"/>
      <c r="Y100" s="6"/>
      <c r="Z100" s="6"/>
      <c r="AA100" s="22"/>
    </row>
    <row r="101" spans="2:27" x14ac:dyDescent="0.25">
      <c r="B101" s="21"/>
      <c r="C101" s="6"/>
      <c r="D101" s="23" t="s">
        <v>2356</v>
      </c>
      <c r="E101" s="6"/>
      <c r="F101" s="6"/>
      <c r="G101" s="6"/>
      <c r="H101" s="6"/>
      <c r="I101" s="6"/>
      <c r="J101" s="6"/>
      <c r="K101" s="6"/>
      <c r="L101" s="6"/>
      <c r="M101" s="6"/>
      <c r="N101" s="6"/>
      <c r="O101" s="6"/>
      <c r="P101" s="6"/>
      <c r="Q101" s="6"/>
      <c r="R101" s="6"/>
      <c r="S101" s="6"/>
      <c r="T101" s="6"/>
      <c r="U101" s="6"/>
      <c r="V101" s="6"/>
      <c r="W101" s="6"/>
      <c r="X101" s="6"/>
      <c r="Y101" s="6"/>
      <c r="Z101" s="6"/>
      <c r="AA101" s="22"/>
    </row>
    <row r="102" spans="2:27" x14ac:dyDescent="0.25">
      <c r="B102" s="21"/>
      <c r="C102" s="6"/>
      <c r="D102" s="23" t="s">
        <v>2357</v>
      </c>
      <c r="E102" s="6"/>
      <c r="F102" s="6"/>
      <c r="G102" s="6"/>
      <c r="H102" s="6"/>
      <c r="I102" s="6"/>
      <c r="J102" s="6"/>
      <c r="K102" s="6"/>
      <c r="L102" s="6"/>
      <c r="M102" s="6"/>
      <c r="N102" s="6"/>
      <c r="O102" s="6"/>
      <c r="P102" s="6"/>
      <c r="Q102" s="6"/>
      <c r="R102" s="6"/>
      <c r="S102" s="6"/>
      <c r="T102" s="6"/>
      <c r="U102" s="6"/>
      <c r="V102" s="6"/>
      <c r="W102" s="6"/>
      <c r="X102" s="6"/>
      <c r="Y102" s="6"/>
      <c r="Z102" s="6"/>
      <c r="AA102" s="22"/>
    </row>
    <row r="103" spans="2:27" x14ac:dyDescent="0.25">
      <c r="B103" s="21"/>
      <c r="C103" s="6"/>
      <c r="D103" s="6"/>
      <c r="E103" s="6"/>
      <c r="F103" s="6"/>
      <c r="G103" s="6"/>
      <c r="H103" s="6"/>
      <c r="I103" s="6"/>
      <c r="J103" s="6"/>
      <c r="K103" s="6"/>
      <c r="L103" s="6"/>
      <c r="M103" s="6"/>
      <c r="N103" s="6"/>
      <c r="O103" s="6"/>
      <c r="P103" s="6"/>
      <c r="Q103" s="6"/>
      <c r="R103" s="6"/>
      <c r="S103" s="6"/>
      <c r="T103" s="6"/>
      <c r="U103" s="6"/>
      <c r="V103" s="6"/>
      <c r="W103" s="6"/>
      <c r="X103" s="6"/>
      <c r="Y103" s="6"/>
      <c r="Z103" s="6"/>
      <c r="AA103" s="22"/>
    </row>
    <row r="104" spans="2:27" x14ac:dyDescent="0.25">
      <c r="B104" s="21"/>
      <c r="C104" s="819" t="s">
        <v>582</v>
      </c>
      <c r="D104" s="819"/>
      <c r="E104" s="819"/>
      <c r="F104" s="819"/>
      <c r="G104" s="819"/>
      <c r="H104" s="819"/>
      <c r="I104" s="819"/>
      <c r="J104" s="819"/>
      <c r="K104" s="819"/>
      <c r="L104" s="819"/>
      <c r="M104" s="820"/>
      <c r="N104" s="773"/>
      <c r="O104" s="826"/>
      <c r="P104" s="826"/>
      <c r="Q104" s="826"/>
      <c r="R104" s="774"/>
      <c r="S104" s="6"/>
      <c r="T104" s="6"/>
      <c r="U104" s="6"/>
      <c r="V104" s="6"/>
      <c r="W104" s="6"/>
      <c r="X104" s="6"/>
      <c r="Y104" s="6"/>
      <c r="Z104" s="6"/>
      <c r="AA104" s="22"/>
    </row>
    <row r="105" spans="2:27" x14ac:dyDescent="0.25">
      <c r="B105" s="21"/>
      <c r="C105" s="821" t="s">
        <v>259</v>
      </c>
      <c r="D105" s="821"/>
      <c r="E105" s="821"/>
      <c r="F105" s="821"/>
      <c r="G105" s="821"/>
      <c r="H105" s="821"/>
      <c r="I105" s="821"/>
      <c r="J105" s="821"/>
      <c r="K105" s="821"/>
      <c r="L105" s="821"/>
      <c r="M105" s="822"/>
      <c r="N105" s="827"/>
      <c r="O105" s="828"/>
      <c r="P105" s="70" t="s">
        <v>258</v>
      </c>
      <c r="Q105" s="70"/>
      <c r="R105" s="70"/>
      <c r="S105" s="6"/>
      <c r="T105" s="6"/>
      <c r="U105" s="6"/>
      <c r="V105" s="6"/>
      <c r="W105" s="6"/>
      <c r="X105" s="6"/>
      <c r="Y105" s="6"/>
      <c r="Z105" s="6"/>
      <c r="AA105" s="22"/>
    </row>
    <row r="106" spans="2:27" x14ac:dyDescent="0.25">
      <c r="B106" s="21"/>
      <c r="C106" s="6"/>
      <c r="D106" s="6"/>
      <c r="E106" s="6"/>
      <c r="F106" s="6"/>
      <c r="G106" s="6"/>
      <c r="H106" s="6"/>
      <c r="I106" s="6"/>
      <c r="J106" s="6"/>
      <c r="K106" s="6"/>
      <c r="L106" s="6"/>
      <c r="M106" s="6"/>
      <c r="N106" s="6"/>
      <c r="O106" s="6"/>
      <c r="P106" s="6"/>
      <c r="Q106" s="6"/>
      <c r="R106" s="6"/>
      <c r="S106" s="6"/>
      <c r="T106" s="6"/>
      <c r="U106" s="6"/>
      <c r="V106" s="6"/>
      <c r="W106" s="6"/>
      <c r="X106" s="6"/>
      <c r="Y106" s="6"/>
      <c r="Z106" s="6"/>
      <c r="AA106" s="22"/>
    </row>
    <row r="107" spans="2:27" x14ac:dyDescent="0.25">
      <c r="B107" s="21"/>
      <c r="C107" s="6"/>
      <c r="D107" s="6"/>
      <c r="E107" s="6"/>
      <c r="F107" s="6"/>
      <c r="G107" s="6"/>
      <c r="H107" s="6"/>
      <c r="I107" s="6"/>
      <c r="J107" s="6"/>
      <c r="K107" s="6"/>
      <c r="L107" s="6"/>
      <c r="M107" s="6"/>
      <c r="N107" s="6"/>
      <c r="O107" s="6"/>
      <c r="P107" s="6"/>
      <c r="Q107" s="6"/>
      <c r="R107" s="6"/>
      <c r="S107" s="6"/>
      <c r="T107" s="6"/>
      <c r="U107" s="6"/>
      <c r="V107" s="6"/>
      <c r="W107" s="6"/>
      <c r="X107" s="6"/>
      <c r="Y107" s="6"/>
      <c r="Z107" s="6"/>
      <c r="AA107" s="22"/>
    </row>
    <row r="108" spans="2:27" x14ac:dyDescent="0.25">
      <c r="B108" s="21"/>
      <c r="C108" s="6"/>
      <c r="D108" s="6"/>
      <c r="E108" s="6"/>
      <c r="F108" s="6"/>
      <c r="G108" s="6"/>
      <c r="H108" s="6"/>
      <c r="I108" s="6"/>
      <c r="J108" s="6"/>
      <c r="K108" s="6"/>
      <c r="L108" s="6"/>
      <c r="M108" s="6"/>
      <c r="N108" s="6"/>
      <c r="O108" s="6"/>
      <c r="P108" s="6"/>
      <c r="Q108" s="6"/>
      <c r="R108" s="6"/>
      <c r="S108" s="6"/>
      <c r="T108" s="6"/>
      <c r="U108" s="6"/>
      <c r="V108" s="6"/>
      <c r="W108" s="6"/>
      <c r="X108" s="6"/>
      <c r="Y108" s="6"/>
      <c r="Z108" s="6"/>
      <c r="AA108" s="22"/>
    </row>
    <row r="109" spans="2:27" x14ac:dyDescent="0.25">
      <c r="B109" s="21"/>
      <c r="C109" s="46"/>
      <c r="D109" s="6"/>
      <c r="E109" s="808" t="s">
        <v>2358</v>
      </c>
      <c r="F109" s="808"/>
      <c r="G109" s="808"/>
      <c r="H109" s="808"/>
      <c r="I109" s="808"/>
      <c r="J109" s="808"/>
      <c r="K109" s="808"/>
      <c r="L109" s="808"/>
      <c r="M109" s="809"/>
      <c r="N109" s="870">
        <f>IFERROR(SUM(Surfaces!O120:O122)/Surfaces!O24,0)</f>
        <v>0</v>
      </c>
      <c r="O109" s="871"/>
      <c r="P109" s="6"/>
      <c r="Q109" s="805" t="s">
        <v>245</v>
      </c>
      <c r="R109" s="805"/>
      <c r="S109" s="6"/>
      <c r="T109" s="6"/>
      <c r="U109" s="6"/>
      <c r="X109" s="6"/>
      <c r="Y109" s="6"/>
      <c r="Z109" s="6"/>
      <c r="AA109" s="22"/>
    </row>
    <row r="110" spans="2:27" x14ac:dyDescent="0.25">
      <c r="B110" s="21"/>
      <c r="C110" s="6"/>
      <c r="E110" s="808" t="s">
        <v>260</v>
      </c>
      <c r="F110" s="808"/>
      <c r="G110" s="808"/>
      <c r="H110" s="808"/>
      <c r="I110" s="808"/>
      <c r="J110" s="808"/>
      <c r="K110" s="808"/>
      <c r="L110" s="808"/>
      <c r="M110" s="809"/>
      <c r="N110" s="802">
        <f>N105</f>
        <v>0</v>
      </c>
      <c r="O110" s="803"/>
      <c r="P110" s="6"/>
      <c r="S110" s="6"/>
      <c r="T110" s="6"/>
      <c r="U110" s="6"/>
      <c r="X110" s="6"/>
      <c r="Y110" s="6"/>
      <c r="Z110" s="6"/>
      <c r="AA110" s="22"/>
    </row>
    <row r="111" spans="2:27" x14ac:dyDescent="0.25">
      <c r="B111" s="21"/>
      <c r="C111" s="6"/>
      <c r="E111" s="792" t="s">
        <v>583</v>
      </c>
      <c r="F111" s="792"/>
      <c r="G111" s="792"/>
      <c r="H111" s="792"/>
      <c r="I111" s="792"/>
      <c r="J111" s="792"/>
      <c r="K111" s="792"/>
      <c r="L111" s="792"/>
      <c r="M111" s="793"/>
      <c r="N111" s="802">
        <f>cSAU-Surfaces!O120-Surfaces!O121-Surfaces!O122</f>
        <v>10</v>
      </c>
      <c r="O111" s="803"/>
      <c r="P111" s="6"/>
      <c r="U111" s="6"/>
      <c r="W111" s="770" t="s">
        <v>723</v>
      </c>
      <c r="X111" s="770"/>
      <c r="Y111" s="6"/>
      <c r="Z111" s="6"/>
      <c r="AA111" s="22"/>
    </row>
    <row r="112" spans="2:27" x14ac:dyDescent="0.25">
      <c r="B112" s="21"/>
      <c r="C112" s="6"/>
      <c r="E112" s="792" t="s">
        <v>257</v>
      </c>
      <c r="F112" s="792"/>
      <c r="G112" s="792"/>
      <c r="H112" s="792"/>
      <c r="I112" s="792"/>
      <c r="J112" s="792"/>
      <c r="K112" s="792"/>
      <c r="L112" s="792"/>
      <c r="M112" s="793"/>
      <c r="N112" s="796">
        <f>IFERROR(N110/N111,0)</f>
        <v>0</v>
      </c>
      <c r="O112" s="797"/>
      <c r="P112" s="6"/>
      <c r="Q112" s="806">
        <f>IF(Surfaces!O24=0,0,IF(N109=1,0,IF(N105&gt;0,IF(N112&lt;0.2,5,IF(AND(N112&gt;=0.2,N112&lt;0.3),4,IF(AND(N112&gt;=0.3,N112&lt;0.4),3,IF(AND(N112&gt;=0.4,N112&lt;0.5),2,IF(AND(N112&gt;=0.5,N112&lt;0.6),1,0))))),0)))</f>
        <v>0</v>
      </c>
      <c r="R112" s="807"/>
      <c r="U112" s="6"/>
      <c r="W112" s="800">
        <v>5</v>
      </c>
      <c r="X112" s="801"/>
      <c r="Y112" s="6"/>
      <c r="Z112" s="6"/>
      <c r="AA112" s="22"/>
    </row>
    <row r="113" spans="2:29" x14ac:dyDescent="0.25">
      <c r="B113" s="21"/>
      <c r="C113" s="6"/>
      <c r="D113" s="6"/>
      <c r="E113" s="6"/>
      <c r="F113" s="6"/>
      <c r="G113" s="6"/>
      <c r="H113" s="6"/>
      <c r="I113" s="6"/>
      <c r="J113" s="6"/>
      <c r="K113" s="6"/>
      <c r="L113" s="6"/>
      <c r="M113" s="6"/>
      <c r="N113" s="6"/>
      <c r="O113" s="6"/>
      <c r="P113" s="6"/>
      <c r="Q113" s="6"/>
      <c r="R113" s="6"/>
      <c r="S113" s="6"/>
      <c r="T113" s="6"/>
      <c r="U113" s="6"/>
      <c r="V113" s="6"/>
      <c r="W113" s="6"/>
      <c r="X113" s="6"/>
      <c r="Y113" s="6"/>
      <c r="Z113" s="6"/>
      <c r="AA113" s="22"/>
    </row>
    <row r="114" spans="2:29" x14ac:dyDescent="0.25">
      <c r="B114" s="21"/>
      <c r="C114" s="6"/>
      <c r="D114" s="6"/>
      <c r="E114" s="6"/>
      <c r="F114" s="6"/>
      <c r="G114" s="6"/>
      <c r="H114" s="6"/>
      <c r="I114" s="6"/>
      <c r="J114" s="6"/>
      <c r="K114" s="6"/>
      <c r="L114" s="6"/>
      <c r="M114" s="6"/>
      <c r="N114" s="6"/>
      <c r="O114" s="6"/>
      <c r="P114" s="6"/>
      <c r="Q114" s="6"/>
      <c r="R114" s="6"/>
      <c r="S114" s="6"/>
      <c r="T114" s="6"/>
      <c r="U114" s="6"/>
      <c r="V114" s="6"/>
      <c r="W114" s="6"/>
      <c r="X114" s="6"/>
      <c r="Y114" s="6"/>
      <c r="Z114" s="6"/>
      <c r="AA114" s="22"/>
    </row>
    <row r="115" spans="2:29" x14ac:dyDescent="0.25">
      <c r="B115" s="21"/>
      <c r="C115" s="6"/>
      <c r="D115" s="6"/>
      <c r="E115" s="102" t="s">
        <v>2532</v>
      </c>
      <c r="F115" s="6"/>
      <c r="G115" s="6"/>
      <c r="H115" s="6"/>
      <c r="I115" s="6"/>
      <c r="J115" s="6"/>
      <c r="K115" s="6"/>
      <c r="L115" s="6"/>
      <c r="M115" s="6"/>
      <c r="N115" s="6"/>
      <c r="O115" s="6"/>
      <c r="P115" s="6"/>
      <c r="Q115" s="6"/>
      <c r="R115" s="6"/>
      <c r="S115" s="6"/>
      <c r="T115" s="6"/>
      <c r="U115" s="6"/>
      <c r="V115" s="6"/>
      <c r="W115" s="6"/>
      <c r="X115" s="6"/>
      <c r="Y115" s="6"/>
      <c r="Z115" s="6"/>
      <c r="AA115" s="22"/>
    </row>
    <row r="116" spans="2:29" x14ac:dyDescent="0.25">
      <c r="B116" s="21"/>
      <c r="C116" s="6"/>
      <c r="D116" s="6"/>
      <c r="E116" s="757"/>
      <c r="F116" s="758"/>
      <c r="G116" s="758"/>
      <c r="H116" s="758"/>
      <c r="I116" s="758"/>
      <c r="J116" s="758"/>
      <c r="K116" s="758"/>
      <c r="L116" s="758"/>
      <c r="M116" s="758"/>
      <c r="N116" s="758"/>
      <c r="O116" s="758"/>
      <c r="P116" s="758"/>
      <c r="Q116" s="758"/>
      <c r="R116" s="758"/>
      <c r="S116" s="758"/>
      <c r="T116" s="758"/>
      <c r="U116" s="758"/>
      <c r="V116" s="758"/>
      <c r="W116" s="758"/>
      <c r="X116" s="758"/>
      <c r="Y116" s="759"/>
      <c r="Z116" s="6"/>
      <c r="AA116" s="22"/>
    </row>
    <row r="117" spans="2:29" x14ac:dyDescent="0.25">
      <c r="B117" s="21"/>
      <c r="C117" s="6"/>
      <c r="D117" s="6"/>
      <c r="E117" s="760"/>
      <c r="F117" s="761"/>
      <c r="G117" s="761"/>
      <c r="H117" s="761"/>
      <c r="I117" s="761"/>
      <c r="J117" s="761"/>
      <c r="K117" s="761"/>
      <c r="L117" s="761"/>
      <c r="M117" s="761"/>
      <c r="N117" s="761"/>
      <c r="O117" s="761"/>
      <c r="P117" s="761"/>
      <c r="Q117" s="761"/>
      <c r="R117" s="761"/>
      <c r="S117" s="761"/>
      <c r="T117" s="761"/>
      <c r="U117" s="761"/>
      <c r="V117" s="761"/>
      <c r="W117" s="761"/>
      <c r="X117" s="761"/>
      <c r="Y117" s="762"/>
      <c r="Z117" s="6"/>
      <c r="AA117" s="22"/>
    </row>
    <row r="118" spans="2:29" x14ac:dyDescent="0.25">
      <c r="B118" s="21"/>
      <c r="C118" s="6"/>
      <c r="D118" s="6"/>
      <c r="E118" s="760"/>
      <c r="F118" s="761"/>
      <c r="G118" s="761"/>
      <c r="H118" s="761"/>
      <c r="I118" s="761"/>
      <c r="J118" s="761"/>
      <c r="K118" s="761"/>
      <c r="L118" s="761"/>
      <c r="M118" s="761"/>
      <c r="N118" s="761"/>
      <c r="O118" s="761"/>
      <c r="P118" s="761"/>
      <c r="Q118" s="761"/>
      <c r="R118" s="761"/>
      <c r="S118" s="761"/>
      <c r="T118" s="761"/>
      <c r="U118" s="761"/>
      <c r="V118" s="761"/>
      <c r="W118" s="761"/>
      <c r="X118" s="761"/>
      <c r="Y118" s="762"/>
      <c r="Z118" s="6"/>
      <c r="AA118" s="22"/>
    </row>
    <row r="119" spans="2:29" x14ac:dyDescent="0.25">
      <c r="B119" s="21"/>
      <c r="C119" s="6"/>
      <c r="D119" s="6"/>
      <c r="E119" s="760"/>
      <c r="F119" s="761"/>
      <c r="G119" s="761"/>
      <c r="H119" s="761"/>
      <c r="I119" s="761"/>
      <c r="J119" s="761"/>
      <c r="K119" s="761"/>
      <c r="L119" s="761"/>
      <c r="M119" s="761"/>
      <c r="N119" s="761"/>
      <c r="O119" s="761"/>
      <c r="P119" s="761"/>
      <c r="Q119" s="761"/>
      <c r="R119" s="761"/>
      <c r="S119" s="761"/>
      <c r="T119" s="761"/>
      <c r="U119" s="761"/>
      <c r="V119" s="761"/>
      <c r="W119" s="761"/>
      <c r="X119" s="761"/>
      <c r="Y119" s="762"/>
      <c r="Z119" s="6"/>
      <c r="AA119" s="22"/>
    </row>
    <row r="120" spans="2:29" x14ac:dyDescent="0.25">
      <c r="B120" s="21"/>
      <c r="C120" s="6"/>
      <c r="D120" s="6"/>
      <c r="E120" s="763"/>
      <c r="F120" s="764"/>
      <c r="G120" s="764"/>
      <c r="H120" s="764"/>
      <c r="I120" s="764"/>
      <c r="J120" s="764"/>
      <c r="K120" s="764"/>
      <c r="L120" s="764"/>
      <c r="M120" s="764"/>
      <c r="N120" s="764"/>
      <c r="O120" s="764"/>
      <c r="P120" s="764"/>
      <c r="Q120" s="764"/>
      <c r="R120" s="764"/>
      <c r="S120" s="764"/>
      <c r="T120" s="764"/>
      <c r="U120" s="764"/>
      <c r="V120" s="764"/>
      <c r="W120" s="764"/>
      <c r="X120" s="764"/>
      <c r="Y120" s="765"/>
      <c r="Z120" s="6"/>
      <c r="AA120" s="22"/>
    </row>
    <row r="121" spans="2:29" x14ac:dyDescent="0.25">
      <c r="B121" s="21"/>
      <c r="C121" s="6"/>
      <c r="D121" s="6"/>
      <c r="E121" s="6"/>
      <c r="F121" s="6"/>
      <c r="G121" s="6"/>
      <c r="H121" s="6"/>
      <c r="I121" s="6"/>
      <c r="J121" s="6"/>
      <c r="K121" s="6"/>
      <c r="L121" s="6"/>
      <c r="M121" s="6"/>
      <c r="N121" s="6"/>
      <c r="O121" s="6"/>
      <c r="P121" s="6"/>
      <c r="Q121" s="6"/>
      <c r="R121" s="6"/>
      <c r="S121" s="6"/>
      <c r="T121" s="6"/>
      <c r="U121" s="6"/>
      <c r="V121" s="6"/>
      <c r="W121" s="6"/>
      <c r="X121" s="6"/>
      <c r="Y121" s="6"/>
      <c r="Z121" s="6"/>
      <c r="AA121" s="22"/>
    </row>
    <row r="122" spans="2:29" ht="15.75" thickBot="1" x14ac:dyDescent="0.3">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6"/>
    </row>
    <row r="125" spans="2:29" ht="15.75" thickBot="1" x14ac:dyDescent="0.3"/>
    <row r="126" spans="2:29" x14ac:dyDescent="0.25">
      <c r="B126" s="18"/>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20"/>
    </row>
    <row r="127" spans="2:29" x14ac:dyDescent="0.25">
      <c r="B127" s="21"/>
      <c r="C127" s="6"/>
      <c r="D127" s="6"/>
      <c r="E127" s="6"/>
      <c r="F127" s="6"/>
      <c r="G127" s="6"/>
      <c r="H127" s="6"/>
      <c r="I127" s="6"/>
      <c r="J127" s="6"/>
      <c r="K127" s="6"/>
      <c r="N127" s="6"/>
      <c r="O127" s="6"/>
      <c r="P127" s="6"/>
      <c r="Q127" s="6"/>
      <c r="R127" s="6"/>
      <c r="S127" s="6"/>
      <c r="T127" s="6"/>
      <c r="U127" s="6"/>
      <c r="V127" s="6"/>
      <c r="W127" s="6"/>
      <c r="X127" s="6"/>
      <c r="Y127" s="6"/>
      <c r="Z127" s="6"/>
      <c r="AA127" s="22"/>
    </row>
    <row r="128" spans="2:29" ht="15" customHeight="1" x14ac:dyDescent="0.25">
      <c r="B128" s="21"/>
      <c r="C128" s="102" t="s">
        <v>275</v>
      </c>
      <c r="D128" s="6"/>
      <c r="E128" s="6"/>
      <c r="F128" s="6"/>
      <c r="G128" s="6"/>
      <c r="H128" s="6"/>
      <c r="I128" s="741" t="s">
        <v>263</v>
      </c>
      <c r="J128" s="741"/>
      <c r="K128" s="816" t="s">
        <v>584</v>
      </c>
      <c r="L128" s="816"/>
      <c r="M128" s="816"/>
      <c r="N128" s="816"/>
      <c r="O128" s="154"/>
      <c r="P128" s="154"/>
      <c r="Q128" s="154"/>
      <c r="R128" s="154"/>
      <c r="S128" s="154"/>
      <c r="T128" s="154"/>
      <c r="U128" s="154"/>
      <c r="V128" s="154"/>
      <c r="W128" s="154"/>
      <c r="X128" s="154"/>
      <c r="Y128" s="154"/>
      <c r="Z128" s="154"/>
      <c r="AA128" s="103"/>
      <c r="AB128" s="99"/>
      <c r="AC128" s="99"/>
    </row>
    <row r="129" spans="2:29" x14ac:dyDescent="0.25">
      <c r="B129" s="21"/>
      <c r="C129" s="6"/>
      <c r="D129" s="51" t="s">
        <v>261</v>
      </c>
      <c r="E129" s="51"/>
      <c r="F129" s="51"/>
      <c r="G129" s="51"/>
      <c r="H129" s="47"/>
      <c r="I129" s="773"/>
      <c r="J129" s="774"/>
      <c r="K129" s="816"/>
      <c r="L129" s="816"/>
      <c r="M129" s="816"/>
      <c r="N129" s="816"/>
      <c r="O129" s="154"/>
      <c r="P129" s="154"/>
      <c r="Q129" s="154"/>
      <c r="R129" s="154"/>
      <c r="S129" s="154"/>
      <c r="T129" s="154"/>
      <c r="U129" s="154"/>
      <c r="V129" s="154"/>
      <c r="W129" s="154"/>
      <c r="X129" s="154"/>
      <c r="Y129" s="154"/>
      <c r="Z129" s="154"/>
      <c r="AA129" s="103"/>
      <c r="AB129" s="99"/>
      <c r="AC129" s="99"/>
    </row>
    <row r="130" spans="2:29" x14ac:dyDescent="0.25">
      <c r="B130" s="21"/>
      <c r="C130" s="6"/>
      <c r="D130" s="52" t="s">
        <v>262</v>
      </c>
      <c r="E130" s="52"/>
      <c r="F130" s="52"/>
      <c r="G130" s="52"/>
      <c r="H130" s="48"/>
      <c r="I130" s="773"/>
      <c r="J130" s="774"/>
      <c r="K130" s="6"/>
      <c r="L130" s="775">
        <f>SUM(I129:J130)</f>
        <v>0</v>
      </c>
      <c r="M130" s="776"/>
      <c r="N130" s="154"/>
      <c r="O130" s="154"/>
      <c r="P130" s="154"/>
      <c r="Q130" s="154"/>
      <c r="R130" s="154"/>
      <c r="S130" s="154"/>
      <c r="T130" s="154"/>
      <c r="U130" s="154"/>
      <c r="V130" s="154"/>
      <c r="W130" s="154"/>
      <c r="X130" s="154"/>
      <c r="Y130" s="154"/>
      <c r="Z130" s="154"/>
      <c r="AA130" s="103"/>
      <c r="AB130" s="99"/>
      <c r="AC130" s="99"/>
    </row>
    <row r="131" spans="2:29" x14ac:dyDescent="0.25">
      <c r="B131" s="21"/>
      <c r="C131" s="6"/>
      <c r="D131" s="6"/>
      <c r="E131" s="6"/>
      <c r="F131" s="6"/>
      <c r="G131" s="6"/>
      <c r="H131" s="6"/>
      <c r="I131" s="6"/>
      <c r="J131" s="6"/>
      <c r="K131" s="6"/>
      <c r="L131" s="6"/>
      <c r="M131" s="6"/>
      <c r="N131" s="6"/>
      <c r="O131" s="6"/>
      <c r="P131" s="6"/>
      <c r="Q131" s="6"/>
      <c r="R131" s="6"/>
      <c r="S131" s="6"/>
      <c r="T131" s="6"/>
      <c r="U131" s="6"/>
      <c r="V131" s="6"/>
      <c r="W131" s="6"/>
      <c r="X131" s="6"/>
      <c r="Y131" s="6"/>
      <c r="Z131" s="6"/>
      <c r="AA131" s="22"/>
    </row>
    <row r="132" spans="2:29" ht="15" customHeight="1" x14ac:dyDescent="0.25">
      <c r="B132" s="21"/>
      <c r="C132" s="102" t="s">
        <v>264</v>
      </c>
      <c r="D132" s="6"/>
      <c r="E132" s="6"/>
      <c r="F132" s="6"/>
      <c r="G132" s="6"/>
      <c r="H132" s="6"/>
      <c r="I132" s="6"/>
      <c r="J132" s="6"/>
      <c r="K132" s="6"/>
      <c r="L132" s="6"/>
      <c r="M132" s="6"/>
      <c r="N132" s="6"/>
      <c r="O132" s="6"/>
      <c r="P132" s="6"/>
      <c r="Q132" s="6"/>
      <c r="R132" s="6"/>
      <c r="S132" s="6"/>
      <c r="T132" s="6"/>
      <c r="U132" s="6"/>
      <c r="V132" s="6"/>
      <c r="W132" s="6"/>
      <c r="X132" s="6"/>
      <c r="Y132" s="6"/>
      <c r="Z132" s="6"/>
      <c r="AA132" s="22"/>
    </row>
    <row r="133" spans="2:29" x14ac:dyDescent="0.25">
      <c r="B133" s="21"/>
      <c r="C133" s="6"/>
      <c r="D133" s="51" t="s">
        <v>265</v>
      </c>
      <c r="E133" s="51"/>
      <c r="F133" s="51"/>
      <c r="G133" s="51"/>
      <c r="H133" s="47"/>
      <c r="I133" s="773"/>
      <c r="J133" s="774"/>
      <c r="K133" s="6"/>
      <c r="L133" s="775">
        <f>IFERROR(I133,0)</f>
        <v>0</v>
      </c>
      <c r="M133" s="776"/>
      <c r="N133" s="6"/>
      <c r="O133" s="154"/>
      <c r="P133" s="153"/>
      <c r="Q133" s="153"/>
      <c r="R133" s="153"/>
      <c r="S133" s="153"/>
      <c r="T133" s="153"/>
      <c r="U133" s="153"/>
      <c r="V133" s="153"/>
      <c r="W133" s="153"/>
      <c r="X133" s="153"/>
      <c r="Y133" s="153"/>
      <c r="Z133" s="153"/>
      <c r="AA133" s="22"/>
    </row>
    <row r="134" spans="2:29" x14ac:dyDescent="0.25">
      <c r="B134" s="21"/>
      <c r="C134" s="6"/>
      <c r="D134" s="52" t="s">
        <v>266</v>
      </c>
      <c r="E134" s="52"/>
      <c r="F134" s="52"/>
      <c r="G134" s="52"/>
      <c r="H134" s="48"/>
      <c r="I134" s="802">
        <f>Surfaces!O116</f>
        <v>0</v>
      </c>
      <c r="J134" s="803"/>
      <c r="K134" s="6"/>
      <c r="L134" s="775">
        <f t="shared" ref="L134:L137" si="0">IFERROR(IF(I134&gt;0,2,0),0)</f>
        <v>0</v>
      </c>
      <c r="M134" s="776"/>
      <c r="N134" s="6"/>
      <c r="O134" s="153"/>
      <c r="P134" s="153"/>
      <c r="Q134" s="153"/>
      <c r="R134" s="153"/>
      <c r="S134" s="153"/>
      <c r="T134" s="153"/>
      <c r="U134" s="153"/>
      <c r="V134" s="153"/>
      <c r="W134" s="153"/>
      <c r="X134" s="153"/>
      <c r="Y134" s="153"/>
      <c r="Z134" s="153"/>
      <c r="AA134" s="22"/>
    </row>
    <row r="135" spans="2:29" x14ac:dyDescent="0.25">
      <c r="B135" s="21"/>
      <c r="C135" s="6"/>
      <c r="D135" s="52" t="s">
        <v>267</v>
      </c>
      <c r="E135" s="52"/>
      <c r="F135" s="52"/>
      <c r="G135" s="52"/>
      <c r="H135" s="48"/>
      <c r="I135" s="802">
        <f>Surfaces!O118</f>
        <v>0</v>
      </c>
      <c r="J135" s="803"/>
      <c r="K135" s="6"/>
      <c r="L135" s="775">
        <f t="shared" si="0"/>
        <v>0</v>
      </c>
      <c r="M135" s="776"/>
      <c r="N135" s="6"/>
      <c r="O135" s="153"/>
      <c r="P135" s="153"/>
      <c r="Q135" s="153"/>
      <c r="R135" s="153"/>
      <c r="S135" s="153"/>
      <c r="T135" s="153"/>
      <c r="U135" s="153"/>
      <c r="V135" s="153"/>
      <c r="W135" s="153"/>
      <c r="X135" s="153"/>
      <c r="Y135" s="153"/>
      <c r="Z135" s="153"/>
      <c r="AA135" s="22"/>
    </row>
    <row r="136" spans="2:29" x14ac:dyDescent="0.25">
      <c r="B136" s="21"/>
      <c r="C136" s="6"/>
      <c r="D136" s="810" t="s">
        <v>268</v>
      </c>
      <c r="E136" s="810"/>
      <c r="F136" s="810"/>
      <c r="G136" s="810"/>
      <c r="H136" s="811"/>
      <c r="I136" s="812">
        <f>Surfaces!O119</f>
        <v>0</v>
      </c>
      <c r="J136" s="813"/>
      <c r="K136" s="104"/>
      <c r="L136" s="777">
        <f>IFERROR(IF(I136&gt;0,3,0),0)</f>
        <v>0</v>
      </c>
      <c r="M136" s="778"/>
      <c r="N136" s="6"/>
      <c r="O136" s="153"/>
      <c r="P136" s="153"/>
      <c r="Q136" s="153"/>
      <c r="R136" s="153"/>
      <c r="S136" s="153"/>
      <c r="T136" s="153"/>
      <c r="U136" s="153"/>
      <c r="V136" s="153"/>
      <c r="W136" s="153"/>
      <c r="X136" s="153"/>
      <c r="Y136" s="153"/>
      <c r="Z136" s="153"/>
      <c r="AA136" s="22"/>
    </row>
    <row r="137" spans="2:29" x14ac:dyDescent="0.25">
      <c r="B137" s="21"/>
      <c r="C137" s="6"/>
      <c r="D137" s="810"/>
      <c r="E137" s="810"/>
      <c r="F137" s="810"/>
      <c r="G137" s="810"/>
      <c r="H137" s="811"/>
      <c r="I137" s="814"/>
      <c r="J137" s="815"/>
      <c r="K137" s="104"/>
      <c r="L137" s="779">
        <f t="shared" si="0"/>
        <v>0</v>
      </c>
      <c r="M137" s="780"/>
      <c r="N137" s="6"/>
      <c r="O137" s="153"/>
      <c r="P137" s="153"/>
      <c r="Q137" s="153"/>
      <c r="R137" s="153"/>
      <c r="S137" s="153"/>
      <c r="T137" s="153"/>
      <c r="U137" s="153"/>
      <c r="V137" s="153"/>
      <c r="W137" s="153"/>
      <c r="X137" s="153"/>
      <c r="Y137" s="153"/>
      <c r="Z137" s="153"/>
      <c r="AA137" s="22"/>
    </row>
    <row r="138" spans="2:29" x14ac:dyDescent="0.25">
      <c r="B138" s="21"/>
      <c r="C138" s="6"/>
      <c r="D138" s="6"/>
      <c r="E138" s="6"/>
      <c r="F138" s="6"/>
      <c r="G138" s="6"/>
      <c r="H138" s="6"/>
      <c r="I138" s="6"/>
      <c r="J138" s="6"/>
      <c r="K138" s="6"/>
      <c r="L138" s="6"/>
      <c r="M138" s="6"/>
      <c r="N138" s="6"/>
      <c r="O138" s="6"/>
      <c r="P138" s="6"/>
      <c r="Q138" s="6"/>
      <c r="R138" s="6"/>
      <c r="S138" s="6"/>
      <c r="T138" s="6"/>
      <c r="U138" s="6"/>
      <c r="V138" s="6"/>
      <c r="W138" s="6"/>
      <c r="X138" s="6"/>
      <c r="Y138" s="6"/>
      <c r="Z138" s="6"/>
      <c r="AA138" s="22"/>
    </row>
    <row r="139" spans="2:29" x14ac:dyDescent="0.25">
      <c r="B139" s="21"/>
      <c r="C139" s="102" t="s">
        <v>270</v>
      </c>
      <c r="D139" s="6"/>
      <c r="E139" s="6"/>
      <c r="F139" s="6"/>
      <c r="G139" s="6"/>
      <c r="H139" s="6"/>
      <c r="I139" s="6"/>
      <c r="J139" s="6"/>
      <c r="K139" s="6"/>
      <c r="L139" s="6"/>
      <c r="M139" s="6"/>
      <c r="N139" s="6"/>
      <c r="O139" s="6"/>
      <c r="P139" s="6"/>
      <c r="Q139" s="6"/>
      <c r="R139" s="6"/>
      <c r="S139" s="6"/>
      <c r="T139" s="6"/>
      <c r="U139" s="6"/>
      <c r="V139" s="6"/>
      <c r="W139" s="6"/>
      <c r="X139" s="6"/>
      <c r="Y139" s="6"/>
      <c r="Z139" s="6"/>
      <c r="AA139" s="22"/>
    </row>
    <row r="140" spans="2:29" x14ac:dyDescent="0.25">
      <c r="B140" s="21"/>
      <c r="C140" s="102"/>
      <c r="D140" s="51" t="s">
        <v>392</v>
      </c>
      <c r="E140" s="51"/>
      <c r="F140" s="51"/>
      <c r="G140" s="51"/>
      <c r="H140" s="47"/>
      <c r="I140" s="802">
        <f>Surfaces!O120+Surfaces!O121+Surfaces!O122</f>
        <v>0</v>
      </c>
      <c r="J140" s="787"/>
      <c r="K140" s="6"/>
      <c r="L140" s="6"/>
      <c r="M140" s="6"/>
      <c r="N140" s="6"/>
      <c r="O140" s="6"/>
      <c r="P140" s="6"/>
      <c r="Q140" s="6"/>
      <c r="R140" s="6"/>
      <c r="S140" s="6"/>
      <c r="T140" s="6"/>
      <c r="U140" s="6"/>
      <c r="V140" s="6"/>
      <c r="W140" s="6"/>
      <c r="X140" s="6"/>
      <c r="Y140" s="6"/>
      <c r="Z140" s="6"/>
      <c r="AA140" s="22"/>
    </row>
    <row r="141" spans="2:29" x14ac:dyDescent="0.25">
      <c r="B141" s="21"/>
      <c r="C141" s="6"/>
      <c r="D141" s="51" t="s">
        <v>269</v>
      </c>
      <c r="E141" s="51"/>
      <c r="F141" s="51"/>
      <c r="G141" s="51"/>
      <c r="H141" s="47"/>
      <c r="I141" s="796">
        <f>IFERROR(I140/Surfaces!O24,0)</f>
        <v>0</v>
      </c>
      <c r="J141" s="797"/>
      <c r="K141" s="6"/>
      <c r="L141" s="798">
        <f>MIN(ROUNDUP(I141/10%,0),10)</f>
        <v>0</v>
      </c>
      <c r="M141" s="799"/>
      <c r="N141" s="6"/>
      <c r="O141" s="23"/>
      <c r="P141" s="6"/>
      <c r="Q141" s="6"/>
      <c r="R141" s="6"/>
      <c r="S141" s="6"/>
      <c r="T141" s="6"/>
      <c r="U141" s="6"/>
      <c r="V141" s="6"/>
      <c r="W141" s="6"/>
      <c r="X141" s="6"/>
      <c r="Y141" s="6"/>
      <c r="Z141" s="6"/>
      <c r="AA141" s="22"/>
    </row>
    <row r="142" spans="2:29" x14ac:dyDescent="0.25">
      <c r="B142" s="21"/>
      <c r="C142" s="6"/>
      <c r="D142" s="6"/>
      <c r="E142" s="6"/>
      <c r="F142" s="6"/>
      <c r="G142" s="6"/>
      <c r="H142" s="6"/>
      <c r="I142" s="6"/>
      <c r="J142" s="6"/>
      <c r="K142" s="6"/>
      <c r="L142" s="6"/>
      <c r="M142" s="6"/>
      <c r="N142" s="6"/>
      <c r="O142" s="6"/>
      <c r="P142" s="6"/>
      <c r="Q142" s="6"/>
      <c r="R142" s="6"/>
      <c r="S142" s="6"/>
      <c r="T142" s="6"/>
      <c r="U142" s="6"/>
      <c r="V142" s="6"/>
      <c r="W142" s="6"/>
      <c r="X142" s="6"/>
      <c r="Y142" s="6"/>
      <c r="Z142" s="6"/>
      <c r="AA142" s="22"/>
    </row>
    <row r="143" spans="2:29" x14ac:dyDescent="0.25">
      <c r="B143" s="21"/>
      <c r="C143" s="102" t="s">
        <v>271</v>
      </c>
      <c r="D143" s="6"/>
      <c r="E143" s="6"/>
      <c r="F143" s="6"/>
      <c r="G143" s="6"/>
      <c r="H143" s="6"/>
      <c r="I143" s="741" t="s">
        <v>263</v>
      </c>
      <c r="J143" s="741"/>
      <c r="K143" s="6"/>
      <c r="L143" s="6"/>
      <c r="M143" s="6"/>
      <c r="N143" s="6"/>
      <c r="O143" s="6"/>
      <c r="P143" s="6"/>
      <c r="Q143" s="6"/>
      <c r="R143" s="6"/>
      <c r="S143" s="6"/>
      <c r="T143" s="6"/>
      <c r="U143" s="6"/>
      <c r="V143" s="6"/>
      <c r="W143" s="6"/>
      <c r="X143" s="6"/>
      <c r="Y143" s="6"/>
      <c r="Z143" s="6"/>
      <c r="AA143" s="22"/>
    </row>
    <row r="144" spans="2:29" s="499" customFormat="1" x14ac:dyDescent="0.25">
      <c r="B144" s="21"/>
      <c r="C144" s="6"/>
      <c r="D144" s="51" t="s">
        <v>130</v>
      </c>
      <c r="E144" s="51"/>
      <c r="F144" s="51"/>
      <c r="G144" s="51"/>
      <c r="H144" s="47"/>
      <c r="I144" s="790">
        <f>IF(Surfaces!O141&gt;0,1,0)</f>
        <v>0</v>
      </c>
      <c r="J144" s="791"/>
      <c r="K144" s="6"/>
      <c r="L144" s="6"/>
      <c r="M144" s="6"/>
      <c r="N144" s="6"/>
      <c r="O144" s="6"/>
      <c r="P144" s="6"/>
      <c r="Q144" s="6"/>
      <c r="R144" s="6"/>
      <c r="S144" s="6"/>
      <c r="T144" s="6"/>
      <c r="U144" s="6"/>
      <c r="V144" s="6"/>
      <c r="W144" s="6"/>
      <c r="X144" s="6"/>
      <c r="Y144" s="6"/>
      <c r="Z144" s="6"/>
      <c r="AA144" s="22"/>
    </row>
    <row r="145" spans="2:27" x14ac:dyDescent="0.25">
      <c r="B145" s="21"/>
      <c r="C145" s="6"/>
      <c r="D145" s="51" t="s">
        <v>272</v>
      </c>
      <c r="E145" s="51"/>
      <c r="F145" s="51"/>
      <c r="G145" s="51"/>
      <c r="H145" s="47"/>
      <c r="I145" s="773"/>
      <c r="J145" s="774"/>
      <c r="K145" s="6"/>
      <c r="L145" s="6"/>
      <c r="M145" s="6"/>
      <c r="N145" s="6"/>
      <c r="O145" s="6"/>
      <c r="P145" s="6"/>
      <c r="Q145" s="6"/>
      <c r="R145" s="6"/>
      <c r="S145" s="6"/>
      <c r="T145" s="6"/>
      <c r="U145" s="6"/>
      <c r="V145" s="6"/>
      <c r="W145" s="6"/>
      <c r="X145" s="6"/>
      <c r="Y145" s="6"/>
      <c r="Z145" s="6"/>
      <c r="AA145" s="22"/>
    </row>
    <row r="146" spans="2:27" x14ac:dyDescent="0.25">
      <c r="B146" s="21"/>
      <c r="C146" s="6"/>
      <c r="D146" s="52" t="s">
        <v>273</v>
      </c>
      <c r="E146" s="52"/>
      <c r="F146" s="52"/>
      <c r="G146" s="52"/>
      <c r="H146" s="48"/>
      <c r="I146" s="773"/>
      <c r="J146" s="774"/>
      <c r="K146" s="6"/>
      <c r="L146" s="6"/>
      <c r="M146" s="6"/>
      <c r="N146" s="6"/>
      <c r="O146" s="6"/>
      <c r="P146" s="6"/>
      <c r="Q146" s="6"/>
      <c r="R146" s="6"/>
      <c r="S146" s="6"/>
      <c r="T146" s="6"/>
      <c r="U146" s="6"/>
      <c r="V146" s="6"/>
      <c r="W146" s="6"/>
      <c r="X146" s="6"/>
      <c r="Y146" s="6"/>
      <c r="Z146" s="6"/>
      <c r="AA146" s="22"/>
    </row>
    <row r="147" spans="2:27" x14ac:dyDescent="0.25">
      <c r="B147" s="21"/>
      <c r="C147" s="6"/>
      <c r="D147" s="52" t="s">
        <v>274</v>
      </c>
      <c r="E147" s="52"/>
      <c r="F147" s="52"/>
      <c r="G147" s="52"/>
      <c r="H147" s="48"/>
      <c r="I147" s="773"/>
      <c r="J147" s="774"/>
      <c r="K147" s="6"/>
      <c r="L147" s="6"/>
      <c r="M147" s="6"/>
      <c r="N147" s="6"/>
      <c r="O147" s="6"/>
      <c r="P147" s="6"/>
      <c r="Q147" s="6"/>
      <c r="R147" s="6"/>
      <c r="S147" s="6"/>
      <c r="T147" s="6"/>
      <c r="U147" s="6"/>
      <c r="V147" s="6"/>
      <c r="W147" s="6"/>
      <c r="X147" s="6"/>
      <c r="Y147" s="6"/>
      <c r="Z147" s="6"/>
      <c r="AA147" s="22"/>
    </row>
    <row r="148" spans="2:27" x14ac:dyDescent="0.25">
      <c r="B148" s="21"/>
      <c r="C148" s="6"/>
      <c r="D148" s="52" t="s">
        <v>128</v>
      </c>
      <c r="E148" s="52"/>
      <c r="F148" s="52"/>
      <c r="G148" s="52"/>
      <c r="H148" s="48"/>
      <c r="I148" s="773"/>
      <c r="J148" s="774"/>
      <c r="K148" s="6"/>
      <c r="L148" s="823">
        <f>SUM(I144:J148)</f>
        <v>0</v>
      </c>
      <c r="M148" s="776"/>
      <c r="N148" s="6"/>
      <c r="O148" s="6"/>
      <c r="P148" s="6"/>
      <c r="Q148" s="6"/>
      <c r="R148" s="6"/>
      <c r="S148" s="6"/>
      <c r="T148" s="6"/>
      <c r="U148" s="6"/>
      <c r="V148" s="6"/>
      <c r="W148" s="6"/>
      <c r="X148" s="6"/>
      <c r="Y148" s="6"/>
      <c r="Z148" s="6"/>
      <c r="AA148" s="22"/>
    </row>
    <row r="149" spans="2:27" x14ac:dyDescent="0.25">
      <c r="B149" s="21"/>
      <c r="C149" s="6"/>
      <c r="D149" s="6"/>
      <c r="E149" s="6"/>
      <c r="F149" s="6"/>
      <c r="G149" s="6"/>
      <c r="H149" s="6"/>
      <c r="I149" s="6"/>
      <c r="J149" s="6"/>
      <c r="K149" s="6"/>
      <c r="L149" s="6"/>
      <c r="M149" s="6"/>
      <c r="N149" s="6"/>
      <c r="O149" s="6"/>
      <c r="P149" s="6"/>
      <c r="Q149" s="6"/>
      <c r="R149" s="6"/>
      <c r="S149" s="6"/>
      <c r="T149" s="6"/>
      <c r="U149" s="6"/>
      <c r="V149" s="6"/>
      <c r="W149" s="6"/>
      <c r="X149" s="6"/>
      <c r="Y149" s="6"/>
      <c r="Z149" s="6"/>
      <c r="AA149" s="22"/>
    </row>
    <row r="150" spans="2:27" x14ac:dyDescent="0.25">
      <c r="B150" s="21"/>
      <c r="C150" s="46"/>
      <c r="D150" s="6"/>
      <c r="E150" s="6"/>
      <c r="F150" s="6"/>
      <c r="G150" s="6"/>
      <c r="H150" s="6"/>
      <c r="I150" s="6"/>
      <c r="J150" s="6"/>
      <c r="K150" s="6"/>
      <c r="L150" s="741" t="s">
        <v>585</v>
      </c>
      <c r="M150" s="741"/>
      <c r="N150" s="6"/>
      <c r="O150" s="741" t="s">
        <v>245</v>
      </c>
      <c r="P150" s="741"/>
      <c r="Q150" s="6"/>
      <c r="R150" s="6"/>
      <c r="S150" s="6"/>
      <c r="T150" s="6"/>
      <c r="U150" s="6"/>
      <c r="V150" s="6"/>
      <c r="W150" s="6"/>
      <c r="X150" s="6"/>
      <c r="Y150" s="6"/>
      <c r="Z150" s="6"/>
      <c r="AA150" s="22"/>
    </row>
    <row r="151" spans="2:27" x14ac:dyDescent="0.25">
      <c r="B151" s="21"/>
      <c r="C151" s="46"/>
      <c r="D151" s="6"/>
      <c r="E151" s="6"/>
      <c r="F151" s="6"/>
      <c r="G151" s="6"/>
      <c r="H151" s="6"/>
      <c r="I151" s="6"/>
      <c r="J151" s="6"/>
      <c r="K151" s="6"/>
      <c r="L151" s="129"/>
      <c r="M151" s="129"/>
      <c r="N151" s="6"/>
      <c r="O151" s="6"/>
      <c r="P151" s="6"/>
      <c r="Q151" s="6"/>
      <c r="R151" s="6"/>
      <c r="S151" s="6"/>
      <c r="T151" s="6"/>
      <c r="U151" s="6"/>
      <c r="V151" s="6"/>
      <c r="W151" s="6"/>
      <c r="X151" s="6"/>
      <c r="Y151" s="6"/>
      <c r="Z151" s="6"/>
      <c r="AA151" s="22"/>
    </row>
    <row r="152" spans="2:27" x14ac:dyDescent="0.25">
      <c r="B152" s="21"/>
      <c r="C152" s="46"/>
      <c r="D152" s="86" t="s">
        <v>563</v>
      </c>
      <c r="E152" s="86"/>
      <c r="F152" s="86"/>
      <c r="G152" s="86"/>
      <c r="H152" s="86"/>
      <c r="I152" s="86"/>
      <c r="J152" s="86"/>
      <c r="K152" s="119"/>
      <c r="L152" s="798">
        <f>SUM(L130:M148)</f>
        <v>0</v>
      </c>
      <c r="M152" s="799"/>
      <c r="N152" s="173"/>
      <c r="O152" s="6"/>
      <c r="P152" s="6"/>
      <c r="Q152" s="6"/>
      <c r="R152" s="6"/>
      <c r="S152" s="6"/>
      <c r="T152" s="6"/>
      <c r="U152" s="6"/>
      <c r="V152" s="6"/>
      <c r="W152" s="770" t="s">
        <v>723</v>
      </c>
      <c r="X152" s="770"/>
      <c r="Y152" s="6"/>
      <c r="Z152" s="6"/>
      <c r="AA152" s="22"/>
    </row>
    <row r="153" spans="2:27" x14ac:dyDescent="0.25">
      <c r="B153" s="21"/>
      <c r="C153" s="46"/>
      <c r="D153" s="86" t="s">
        <v>2359</v>
      </c>
      <c r="E153" s="86"/>
      <c r="F153" s="86"/>
      <c r="G153" s="86"/>
      <c r="H153" s="86"/>
      <c r="I153" s="86"/>
      <c r="J153" s="86"/>
      <c r="K153" s="119"/>
      <c r="L153" s="872">
        <f>IFERROR(SUM(Surfaces!O120:O122)/Surfaces!O24,0)</f>
        <v>0</v>
      </c>
      <c r="M153" s="873"/>
      <c r="N153" s="173"/>
      <c r="O153" s="6"/>
      <c r="P153" s="6"/>
      <c r="Q153" s="6"/>
      <c r="R153" s="6"/>
      <c r="S153" s="6"/>
      <c r="T153" s="6"/>
      <c r="U153" s="6"/>
      <c r="V153" s="6"/>
      <c r="W153" s="441"/>
      <c r="X153" s="441"/>
      <c r="Y153" s="6"/>
      <c r="Z153" s="6"/>
      <c r="AA153" s="22"/>
    </row>
    <row r="154" spans="2:27" x14ac:dyDescent="0.25">
      <c r="B154" s="21"/>
      <c r="C154" s="46"/>
      <c r="D154" s="87" t="s">
        <v>586</v>
      </c>
      <c r="E154" s="87"/>
      <c r="F154" s="87"/>
      <c r="G154" s="87"/>
      <c r="H154" s="87"/>
      <c r="I154" s="87"/>
      <c r="J154" s="87"/>
      <c r="K154" s="120"/>
      <c r="L154" s="804">
        <f>N112</f>
        <v>0</v>
      </c>
      <c r="M154" s="799"/>
      <c r="N154" s="173"/>
      <c r="O154" s="784">
        <f>IF(L152=0,0,IF(AND(L154&gt;=0.6,L153&lt;1),MIN(MAX(L152-5,0)/1,5),MIN(MAX(L152-4,0)/1,6)))</f>
        <v>0</v>
      </c>
      <c r="P154" s="785"/>
      <c r="Q154" s="6"/>
      <c r="R154" s="6"/>
      <c r="S154" s="6"/>
      <c r="T154" s="6"/>
      <c r="U154" s="6"/>
      <c r="V154" s="6"/>
      <c r="W154" s="800">
        <v>6</v>
      </c>
      <c r="X154" s="801"/>
      <c r="Y154" s="6"/>
      <c r="Z154" s="6"/>
      <c r="AA154" s="22"/>
    </row>
    <row r="155" spans="2:27" x14ac:dyDescent="0.25">
      <c r="B155" s="21"/>
      <c r="C155" s="46"/>
      <c r="E155" s="70"/>
      <c r="F155" s="70"/>
      <c r="G155" s="70"/>
      <c r="H155" s="70"/>
      <c r="I155" s="70"/>
      <c r="J155" s="70"/>
      <c r="K155" s="70"/>
      <c r="L155" s="217"/>
      <c r="M155" s="217"/>
      <c r="N155" s="173"/>
      <c r="O155" s="6"/>
      <c r="P155" s="6"/>
      <c r="Q155" s="6"/>
      <c r="R155" s="6"/>
      <c r="S155" s="6"/>
      <c r="T155" s="6"/>
      <c r="U155" s="6"/>
      <c r="V155" s="6"/>
      <c r="W155" s="6"/>
      <c r="X155" s="6"/>
      <c r="Y155" s="6"/>
      <c r="Z155" s="6"/>
      <c r="AA155" s="22"/>
    </row>
    <row r="156" spans="2:27" x14ac:dyDescent="0.25">
      <c r="B156" s="21"/>
      <c r="C156" s="46"/>
      <c r="D156" s="70"/>
      <c r="E156" s="70"/>
      <c r="F156" s="70"/>
      <c r="G156" s="70"/>
      <c r="H156" s="70"/>
      <c r="I156" s="70"/>
      <c r="J156" s="70"/>
      <c r="K156" s="70"/>
      <c r="L156" s="217"/>
      <c r="M156" s="217"/>
      <c r="N156" s="173"/>
      <c r="O156" s="6"/>
      <c r="P156" s="6"/>
      <c r="Q156" s="6"/>
      <c r="R156" s="6"/>
      <c r="S156" s="6"/>
      <c r="T156" s="6"/>
      <c r="U156" s="6"/>
      <c r="V156" s="6"/>
      <c r="W156" s="6"/>
      <c r="X156" s="6"/>
      <c r="Y156" s="6"/>
      <c r="Z156" s="6"/>
      <c r="AA156" s="22"/>
    </row>
    <row r="157" spans="2:27" x14ac:dyDescent="0.25">
      <c r="B157" s="21"/>
      <c r="C157" s="46"/>
      <c r="D157" s="102" t="s">
        <v>2532</v>
      </c>
      <c r="E157" s="6"/>
      <c r="F157" s="6"/>
      <c r="G157" s="6"/>
      <c r="H157" s="6"/>
      <c r="I157" s="6"/>
      <c r="J157" s="6"/>
      <c r="K157" s="6"/>
      <c r="L157" s="6"/>
      <c r="M157" s="6"/>
      <c r="N157" s="6"/>
      <c r="O157" s="6"/>
      <c r="P157" s="6"/>
      <c r="Q157" s="6"/>
      <c r="R157" s="6"/>
      <c r="S157" s="6"/>
      <c r="T157" s="6"/>
      <c r="U157" s="6"/>
      <c r="V157" s="6"/>
      <c r="W157" s="6"/>
      <c r="X157" s="6"/>
      <c r="Y157" s="6"/>
      <c r="Z157" s="6"/>
      <c r="AA157" s="22"/>
    </row>
    <row r="158" spans="2:27" x14ac:dyDescent="0.25">
      <c r="B158" s="21"/>
      <c r="C158" s="46"/>
      <c r="D158" s="757"/>
      <c r="E158" s="758"/>
      <c r="F158" s="758"/>
      <c r="G158" s="758"/>
      <c r="H158" s="758"/>
      <c r="I158" s="758"/>
      <c r="J158" s="758"/>
      <c r="K158" s="758"/>
      <c r="L158" s="758"/>
      <c r="M158" s="758"/>
      <c r="N158" s="758"/>
      <c r="O158" s="758"/>
      <c r="P158" s="758"/>
      <c r="Q158" s="758"/>
      <c r="R158" s="758"/>
      <c r="S158" s="758"/>
      <c r="T158" s="758"/>
      <c r="U158" s="758"/>
      <c r="V158" s="758"/>
      <c r="W158" s="758"/>
      <c r="X158" s="759"/>
      <c r="Y158" s="6"/>
      <c r="Z158" s="6"/>
      <c r="AA158" s="22"/>
    </row>
    <row r="159" spans="2:27" x14ac:dyDescent="0.25">
      <c r="B159" s="21"/>
      <c r="C159" s="46"/>
      <c r="D159" s="760"/>
      <c r="E159" s="761"/>
      <c r="F159" s="761"/>
      <c r="G159" s="761"/>
      <c r="H159" s="761"/>
      <c r="I159" s="761"/>
      <c r="J159" s="761"/>
      <c r="K159" s="761"/>
      <c r="L159" s="761"/>
      <c r="M159" s="761"/>
      <c r="N159" s="761"/>
      <c r="O159" s="761"/>
      <c r="P159" s="761"/>
      <c r="Q159" s="761"/>
      <c r="R159" s="761"/>
      <c r="S159" s="761"/>
      <c r="T159" s="761"/>
      <c r="U159" s="761"/>
      <c r="V159" s="761"/>
      <c r="W159" s="761"/>
      <c r="X159" s="762"/>
      <c r="Y159" s="6"/>
      <c r="Z159" s="6"/>
      <c r="AA159" s="22"/>
    </row>
    <row r="160" spans="2:27" x14ac:dyDescent="0.25">
      <c r="B160" s="21"/>
      <c r="C160" s="46"/>
      <c r="D160" s="760"/>
      <c r="E160" s="761"/>
      <c r="F160" s="761"/>
      <c r="G160" s="761"/>
      <c r="H160" s="761"/>
      <c r="I160" s="761"/>
      <c r="J160" s="761"/>
      <c r="K160" s="761"/>
      <c r="L160" s="761"/>
      <c r="M160" s="761"/>
      <c r="N160" s="761"/>
      <c r="O160" s="761"/>
      <c r="P160" s="761"/>
      <c r="Q160" s="761"/>
      <c r="R160" s="761"/>
      <c r="S160" s="761"/>
      <c r="T160" s="761"/>
      <c r="U160" s="761"/>
      <c r="V160" s="761"/>
      <c r="W160" s="761"/>
      <c r="X160" s="762"/>
      <c r="Y160" s="6"/>
      <c r="Z160" s="6"/>
      <c r="AA160" s="22"/>
    </row>
    <row r="161" spans="2:27" x14ac:dyDescent="0.25">
      <c r="B161" s="21"/>
      <c r="C161" s="46"/>
      <c r="D161" s="760"/>
      <c r="E161" s="761"/>
      <c r="F161" s="761"/>
      <c r="G161" s="761"/>
      <c r="H161" s="761"/>
      <c r="I161" s="761"/>
      <c r="J161" s="761"/>
      <c r="K161" s="761"/>
      <c r="L161" s="761"/>
      <c r="M161" s="761"/>
      <c r="N161" s="761"/>
      <c r="O161" s="761"/>
      <c r="P161" s="761"/>
      <c r="Q161" s="761"/>
      <c r="R161" s="761"/>
      <c r="S161" s="761"/>
      <c r="T161" s="761"/>
      <c r="U161" s="761"/>
      <c r="V161" s="761"/>
      <c r="W161" s="761"/>
      <c r="X161" s="762"/>
      <c r="Y161" s="6"/>
      <c r="Z161" s="6"/>
      <c r="AA161" s="22"/>
    </row>
    <row r="162" spans="2:27" x14ac:dyDescent="0.25">
      <c r="B162" s="21"/>
      <c r="C162" s="46"/>
      <c r="D162" s="763"/>
      <c r="E162" s="764"/>
      <c r="F162" s="764"/>
      <c r="G162" s="764"/>
      <c r="H162" s="764"/>
      <c r="I162" s="764"/>
      <c r="J162" s="764"/>
      <c r="K162" s="764"/>
      <c r="L162" s="764"/>
      <c r="M162" s="764"/>
      <c r="N162" s="764"/>
      <c r="O162" s="764"/>
      <c r="P162" s="764"/>
      <c r="Q162" s="764"/>
      <c r="R162" s="764"/>
      <c r="S162" s="764"/>
      <c r="T162" s="764"/>
      <c r="U162" s="764"/>
      <c r="V162" s="764"/>
      <c r="W162" s="764"/>
      <c r="X162" s="765"/>
      <c r="Y162" s="6"/>
      <c r="Z162" s="6"/>
      <c r="AA162" s="22"/>
    </row>
    <row r="163" spans="2:27" x14ac:dyDescent="0.25">
      <c r="B163" s="21"/>
      <c r="C163" s="46"/>
      <c r="D163" s="70"/>
      <c r="E163" s="70"/>
      <c r="F163" s="70"/>
      <c r="G163" s="70"/>
      <c r="H163" s="70"/>
      <c r="I163" s="70"/>
      <c r="J163" s="70"/>
      <c r="K163" s="70"/>
      <c r="L163" s="217"/>
      <c r="M163" s="217"/>
      <c r="N163" s="173"/>
      <c r="O163" s="6"/>
      <c r="P163" s="6"/>
      <c r="Q163" s="6"/>
      <c r="R163" s="6"/>
      <c r="S163" s="6"/>
      <c r="T163" s="6"/>
      <c r="U163" s="6"/>
      <c r="V163" s="6"/>
      <c r="W163" s="6"/>
      <c r="X163" s="6"/>
      <c r="Y163" s="6"/>
      <c r="Z163" s="6"/>
      <c r="AA163" s="22"/>
    </row>
    <row r="164" spans="2:27" ht="15.75" thickBot="1" x14ac:dyDescent="0.3">
      <c r="B164" s="24"/>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6"/>
    </row>
    <row r="167" spans="2:27" ht="15.75" thickBot="1" x14ac:dyDescent="0.3"/>
    <row r="168" spans="2:27" x14ac:dyDescent="0.25">
      <c r="B168" s="18"/>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20"/>
    </row>
    <row r="169" spans="2:27" x14ac:dyDescent="0.25">
      <c r="B169" s="21"/>
      <c r="C169" s="6"/>
      <c r="D169" s="6"/>
      <c r="E169" s="6"/>
      <c r="F169" s="6"/>
      <c r="G169" s="6"/>
      <c r="H169" s="6"/>
      <c r="I169" s="6"/>
      <c r="J169" s="6"/>
      <c r="K169" s="6"/>
      <c r="L169" s="6"/>
      <c r="M169" s="6"/>
      <c r="N169" s="6"/>
      <c r="O169" s="6"/>
      <c r="P169" s="6"/>
      <c r="Q169" s="6"/>
      <c r="R169" s="6"/>
      <c r="S169" s="6"/>
      <c r="T169" s="6"/>
      <c r="U169" s="6"/>
      <c r="V169" s="6"/>
      <c r="W169" s="6"/>
      <c r="X169" s="6"/>
      <c r="Y169" s="6"/>
      <c r="Z169" s="6"/>
      <c r="AA169" s="22"/>
    </row>
    <row r="170" spans="2:27" x14ac:dyDescent="0.25">
      <c r="B170" s="21"/>
      <c r="C170" s="102" t="s">
        <v>2360</v>
      </c>
      <c r="D170" s="6"/>
      <c r="E170" s="6"/>
      <c r="F170" s="6"/>
      <c r="G170" s="6"/>
      <c r="H170" s="6"/>
      <c r="I170" s="6"/>
      <c r="J170" s="6"/>
      <c r="K170" s="6"/>
      <c r="L170" s="6"/>
      <c r="M170" s="6"/>
      <c r="N170" s="6"/>
      <c r="O170" s="6"/>
      <c r="P170" s="6"/>
      <c r="Q170" s="6"/>
      <c r="R170" s="6"/>
      <c r="S170" s="6"/>
      <c r="T170" s="6"/>
      <c r="U170" s="6"/>
      <c r="V170" s="6"/>
      <c r="W170" s="6"/>
      <c r="X170" s="6"/>
      <c r="Y170" s="6"/>
      <c r="Z170" s="6"/>
      <c r="AA170" s="22"/>
    </row>
    <row r="171" spans="2:27" x14ac:dyDescent="0.25">
      <c r="B171" s="21"/>
      <c r="C171" s="6"/>
      <c r="D171" s="51" t="s">
        <v>277</v>
      </c>
      <c r="E171" s="51"/>
      <c r="F171" s="51"/>
      <c r="G171" s="51"/>
      <c r="H171" s="47"/>
      <c r="I171" s="773"/>
      <c r="J171" s="774"/>
      <c r="K171" s="6"/>
      <c r="L171" s="6"/>
      <c r="M171" s="6"/>
      <c r="N171" s="6"/>
      <c r="O171" s="6"/>
      <c r="P171" s="6"/>
      <c r="Q171" s="6"/>
      <c r="R171" s="6"/>
      <c r="S171" s="6"/>
      <c r="T171" s="6"/>
      <c r="U171" s="6"/>
      <c r="V171" s="6"/>
      <c r="W171" s="6"/>
      <c r="X171" s="6"/>
      <c r="Y171" s="6"/>
      <c r="Z171" s="6"/>
      <c r="AA171" s="22"/>
    </row>
    <row r="172" spans="2:27" x14ac:dyDescent="0.25">
      <c r="B172" s="21"/>
      <c r="C172" s="6"/>
      <c r="D172" s="52" t="s">
        <v>278</v>
      </c>
      <c r="E172" s="52"/>
      <c r="F172" s="52"/>
      <c r="G172" s="52"/>
      <c r="H172" s="48"/>
      <c r="I172" s="773"/>
      <c r="J172" s="774"/>
      <c r="K172" s="6"/>
      <c r="L172" s="6"/>
      <c r="M172" s="6"/>
      <c r="N172" s="6"/>
      <c r="O172" s="6"/>
      <c r="P172" s="6"/>
      <c r="Q172" s="6"/>
      <c r="R172" s="6"/>
      <c r="S172" s="6"/>
      <c r="T172" s="6"/>
      <c r="U172" s="6"/>
      <c r="V172" s="6"/>
      <c r="W172" s="6"/>
      <c r="X172" s="6"/>
      <c r="Y172" s="6"/>
      <c r="Z172" s="6"/>
      <c r="AA172" s="22"/>
    </row>
    <row r="173" spans="2:27" x14ac:dyDescent="0.25">
      <c r="B173" s="21"/>
      <c r="C173" s="6"/>
      <c r="D173" s="52" t="s">
        <v>279</v>
      </c>
      <c r="E173" s="52"/>
      <c r="F173" s="52"/>
      <c r="G173" s="52"/>
      <c r="H173" s="48"/>
      <c r="I173" s="773"/>
      <c r="J173" s="774"/>
      <c r="K173" s="6"/>
      <c r="L173" s="6"/>
      <c r="M173" s="6"/>
      <c r="N173" s="6"/>
      <c r="O173" s="6"/>
      <c r="P173" s="6"/>
      <c r="Q173" s="6"/>
      <c r="R173" s="6"/>
      <c r="S173" s="6"/>
      <c r="T173" s="6"/>
      <c r="U173" s="6"/>
      <c r="V173" s="6"/>
      <c r="W173" s="6"/>
      <c r="X173" s="6"/>
      <c r="Y173" s="6"/>
      <c r="Z173" s="6"/>
      <c r="AA173" s="22"/>
    </row>
    <row r="174" spans="2:27" x14ac:dyDescent="0.25">
      <c r="B174" s="21"/>
      <c r="C174" s="6"/>
      <c r="D174" s="52" t="s">
        <v>280</v>
      </c>
      <c r="E174" s="52"/>
      <c r="F174" s="52"/>
      <c r="G174" s="52"/>
      <c r="H174" s="48"/>
      <c r="I174" s="773"/>
      <c r="J174" s="774"/>
      <c r="K174" s="6"/>
      <c r="L174" s="6"/>
      <c r="M174" s="6"/>
      <c r="N174" s="6"/>
      <c r="O174" s="6"/>
      <c r="P174" s="6"/>
      <c r="Q174" s="6"/>
      <c r="R174" s="6"/>
      <c r="S174" s="6"/>
      <c r="T174" s="6"/>
      <c r="U174" s="6"/>
      <c r="V174" s="6"/>
      <c r="W174" s="6"/>
      <c r="X174" s="6"/>
      <c r="Y174" s="6"/>
      <c r="Z174" s="6"/>
      <c r="AA174" s="22"/>
    </row>
    <row r="175" spans="2:27" x14ac:dyDescent="0.25">
      <c r="B175" s="21"/>
      <c r="C175" s="6"/>
      <c r="D175" s="52" t="s">
        <v>281</v>
      </c>
      <c r="E175" s="52"/>
      <c r="F175" s="52"/>
      <c r="G175" s="52"/>
      <c r="H175" s="48"/>
      <c r="I175" s="794"/>
      <c r="J175" s="795"/>
      <c r="K175" s="6"/>
      <c r="L175" s="6"/>
      <c r="M175" s="6"/>
      <c r="N175" s="6"/>
      <c r="O175" s="6"/>
      <c r="P175" s="6"/>
      <c r="Q175" s="6"/>
      <c r="R175" s="6"/>
      <c r="S175" s="6"/>
      <c r="T175" s="6"/>
      <c r="U175" s="6"/>
      <c r="V175" s="6"/>
      <c r="W175" s="6"/>
      <c r="X175" s="6"/>
      <c r="Y175" s="6"/>
      <c r="Z175" s="6"/>
      <c r="AA175" s="22"/>
    </row>
    <row r="176" spans="2:27" x14ac:dyDescent="0.25">
      <c r="B176" s="21"/>
      <c r="C176" s="6"/>
      <c r="D176" s="52" t="s">
        <v>283</v>
      </c>
      <c r="E176" s="52"/>
      <c r="F176" s="52"/>
      <c r="G176" s="52"/>
      <c r="H176" s="48"/>
      <c r="I176" s="773"/>
      <c r="J176" s="774"/>
      <c r="K176" s="6"/>
      <c r="L176" s="6"/>
      <c r="M176" s="6"/>
      <c r="N176" s="6"/>
      <c r="O176" s="6"/>
      <c r="P176" s="6"/>
      <c r="Q176" s="6"/>
      <c r="R176" s="6"/>
      <c r="S176" s="6"/>
      <c r="T176" s="6"/>
      <c r="U176" s="6"/>
      <c r="V176" s="6"/>
      <c r="W176" s="6"/>
      <c r="X176" s="6"/>
      <c r="Y176" s="6"/>
      <c r="Z176" s="6"/>
      <c r="AA176" s="22"/>
    </row>
    <row r="177" spans="2:27" x14ac:dyDescent="0.25">
      <c r="B177" s="21"/>
      <c r="C177" s="6"/>
      <c r="D177" s="6"/>
      <c r="E177" s="6"/>
      <c r="F177" s="6"/>
      <c r="G177" s="6"/>
      <c r="H177" s="6"/>
      <c r="I177" s="6"/>
      <c r="J177" s="6"/>
      <c r="K177" s="6"/>
      <c r="L177" s="6"/>
      <c r="M177" s="6"/>
      <c r="N177" s="6"/>
      <c r="O177" s="6"/>
      <c r="P177" s="6"/>
      <c r="Q177" s="6"/>
      <c r="R177" s="6"/>
      <c r="S177" s="6"/>
      <c r="T177" s="6"/>
      <c r="U177" s="6"/>
      <c r="V177" s="6"/>
      <c r="W177" s="6"/>
      <c r="X177" s="6"/>
      <c r="Y177" s="6"/>
      <c r="Z177" s="6"/>
      <c r="AA177" s="22"/>
    </row>
    <row r="178" spans="2:27" x14ac:dyDescent="0.25">
      <c r="B178" s="21"/>
      <c r="C178" s="6"/>
      <c r="D178" s="6"/>
      <c r="E178" s="6"/>
      <c r="F178" s="6"/>
      <c r="G178" s="6"/>
      <c r="H178" s="6"/>
      <c r="I178" s="6"/>
      <c r="J178" s="6"/>
      <c r="K178" s="6"/>
      <c r="L178" s="6"/>
      <c r="M178" s="6"/>
      <c r="N178" s="6"/>
      <c r="O178" s="6"/>
      <c r="P178" s="6"/>
      <c r="Q178" s="6"/>
      <c r="R178" s="6"/>
      <c r="S178" s="6"/>
      <c r="T178" s="6"/>
      <c r="U178" s="6"/>
      <c r="V178" s="6"/>
      <c r="W178" s="6"/>
      <c r="X178" s="6"/>
      <c r="Y178" s="6"/>
      <c r="Z178" s="6"/>
      <c r="AA178" s="22"/>
    </row>
    <row r="179" spans="2:27" x14ac:dyDescent="0.25">
      <c r="B179" s="21"/>
      <c r="C179" s="46"/>
      <c r="D179" s="6"/>
      <c r="E179" s="6"/>
      <c r="F179" s="6"/>
      <c r="G179" s="6"/>
      <c r="H179" s="6"/>
      <c r="I179" s="6"/>
      <c r="J179" s="6"/>
      <c r="K179" s="6"/>
      <c r="L179" s="741" t="s">
        <v>245</v>
      </c>
      <c r="M179" s="741"/>
      <c r="N179" s="6"/>
      <c r="O179" s="6"/>
      <c r="P179" s="6"/>
      <c r="Q179" s="6"/>
      <c r="R179" s="6"/>
      <c r="S179" s="6"/>
      <c r="T179" s="6"/>
      <c r="U179" s="6"/>
      <c r="V179" s="6"/>
      <c r="W179" s="770" t="s">
        <v>723</v>
      </c>
      <c r="X179" s="770"/>
      <c r="Y179" s="6"/>
      <c r="Z179" s="6"/>
      <c r="AA179" s="22"/>
    </row>
    <row r="180" spans="2:27" x14ac:dyDescent="0.25">
      <c r="B180" s="21"/>
      <c r="C180" s="6"/>
      <c r="D180" s="44" t="s">
        <v>282</v>
      </c>
      <c r="E180" s="44"/>
      <c r="F180" s="44"/>
      <c r="G180" s="44"/>
      <c r="H180" s="49"/>
      <c r="I180" s="786">
        <f>IFERROR(SUM(I171:J176),0)</f>
        <v>0</v>
      </c>
      <c r="J180" s="787"/>
      <c r="K180" s="6"/>
      <c r="L180" s="784">
        <f>IFERROR(IF(I180&gt;=4,3,IF(I180=3,2,IF(I180=2,1,0))),0)</f>
        <v>0</v>
      </c>
      <c r="M180" s="785"/>
      <c r="N180" s="6"/>
      <c r="O180" s="6"/>
      <c r="P180" s="6"/>
      <c r="Q180" s="6"/>
      <c r="R180" s="6"/>
      <c r="S180" s="6"/>
      <c r="T180" s="6"/>
      <c r="U180" s="6"/>
      <c r="V180" s="6"/>
      <c r="W180" s="800">
        <v>3</v>
      </c>
      <c r="X180" s="801"/>
      <c r="Y180" s="6"/>
      <c r="Z180" s="6"/>
      <c r="AA180" s="22"/>
    </row>
    <row r="181" spans="2:27" x14ac:dyDescent="0.25">
      <c r="B181" s="21"/>
      <c r="C181" s="6"/>
      <c r="D181" s="6"/>
      <c r="E181" s="6"/>
      <c r="F181" s="6"/>
      <c r="G181" s="6"/>
      <c r="H181" s="6"/>
      <c r="I181" s="6"/>
      <c r="J181" s="6"/>
      <c r="K181" s="6"/>
      <c r="L181" s="6"/>
      <c r="M181" s="6"/>
      <c r="N181" s="6"/>
      <c r="O181" s="6"/>
      <c r="P181" s="6"/>
      <c r="Q181" s="6"/>
      <c r="R181" s="6"/>
      <c r="S181" s="6"/>
      <c r="T181" s="6"/>
      <c r="U181" s="6"/>
      <c r="V181" s="6"/>
      <c r="W181" s="6"/>
      <c r="X181" s="6"/>
      <c r="Y181" s="6"/>
      <c r="Z181" s="6"/>
      <c r="AA181" s="22"/>
    </row>
    <row r="182" spans="2:27" x14ac:dyDescent="0.25">
      <c r="B182" s="21"/>
      <c r="C182" s="6"/>
      <c r="D182" s="6"/>
      <c r="E182" s="6"/>
      <c r="F182" s="6"/>
      <c r="G182" s="6"/>
      <c r="H182" s="6"/>
      <c r="I182" s="6"/>
      <c r="J182" s="6"/>
      <c r="K182" s="6"/>
      <c r="L182" s="6"/>
      <c r="M182" s="6"/>
      <c r="N182" s="6"/>
      <c r="O182" s="6"/>
      <c r="P182" s="6"/>
      <c r="Q182" s="6"/>
      <c r="R182" s="6"/>
      <c r="S182" s="6"/>
      <c r="T182" s="6"/>
      <c r="U182" s="6"/>
      <c r="V182" s="6"/>
      <c r="W182" s="6"/>
      <c r="X182" s="6"/>
      <c r="Y182" s="6"/>
      <c r="Z182" s="6"/>
      <c r="AA182" s="22"/>
    </row>
    <row r="183" spans="2:27" x14ac:dyDescent="0.25">
      <c r="B183" s="21"/>
      <c r="C183" s="6"/>
      <c r="D183" s="102" t="s">
        <v>2532</v>
      </c>
      <c r="E183" s="6"/>
      <c r="F183" s="6"/>
      <c r="G183" s="6"/>
      <c r="H183" s="6"/>
      <c r="I183" s="6"/>
      <c r="J183" s="6"/>
      <c r="K183" s="6"/>
      <c r="L183" s="6"/>
      <c r="M183" s="6"/>
      <c r="N183" s="6"/>
      <c r="O183" s="6"/>
      <c r="P183" s="6"/>
      <c r="Q183" s="6"/>
      <c r="R183" s="6"/>
      <c r="S183" s="6"/>
      <c r="T183" s="6"/>
      <c r="U183" s="6"/>
      <c r="V183" s="6"/>
      <c r="W183" s="6"/>
      <c r="X183" s="6"/>
      <c r="Y183" s="6"/>
      <c r="Z183" s="6"/>
      <c r="AA183" s="22"/>
    </row>
    <row r="184" spans="2:27" x14ac:dyDescent="0.25">
      <c r="B184" s="21"/>
      <c r="C184" s="6"/>
      <c r="D184" s="757"/>
      <c r="E184" s="758"/>
      <c r="F184" s="758"/>
      <c r="G184" s="758"/>
      <c r="H184" s="758"/>
      <c r="I184" s="758"/>
      <c r="J184" s="758"/>
      <c r="K184" s="758"/>
      <c r="L184" s="758"/>
      <c r="M184" s="758"/>
      <c r="N184" s="758"/>
      <c r="O184" s="758"/>
      <c r="P184" s="758"/>
      <c r="Q184" s="758"/>
      <c r="R184" s="758"/>
      <c r="S184" s="758"/>
      <c r="T184" s="758"/>
      <c r="U184" s="758"/>
      <c r="V184" s="758"/>
      <c r="W184" s="758"/>
      <c r="X184" s="759"/>
      <c r="Y184" s="6"/>
      <c r="Z184" s="6"/>
      <c r="AA184" s="22"/>
    </row>
    <row r="185" spans="2:27" x14ac:dyDescent="0.25">
      <c r="B185" s="21"/>
      <c r="C185" s="6"/>
      <c r="D185" s="760"/>
      <c r="E185" s="761"/>
      <c r="F185" s="761"/>
      <c r="G185" s="761"/>
      <c r="H185" s="761"/>
      <c r="I185" s="761"/>
      <c r="J185" s="761"/>
      <c r="K185" s="761"/>
      <c r="L185" s="761"/>
      <c r="M185" s="761"/>
      <c r="N185" s="761"/>
      <c r="O185" s="761"/>
      <c r="P185" s="761"/>
      <c r="Q185" s="761"/>
      <c r="R185" s="761"/>
      <c r="S185" s="761"/>
      <c r="T185" s="761"/>
      <c r="U185" s="761"/>
      <c r="V185" s="761"/>
      <c r="W185" s="761"/>
      <c r="X185" s="762"/>
      <c r="Y185" s="6"/>
      <c r="Z185" s="6"/>
      <c r="AA185" s="22"/>
    </row>
    <row r="186" spans="2:27" x14ac:dyDescent="0.25">
      <c r="B186" s="21"/>
      <c r="C186" s="6"/>
      <c r="D186" s="760"/>
      <c r="E186" s="761"/>
      <c r="F186" s="761"/>
      <c r="G186" s="761"/>
      <c r="H186" s="761"/>
      <c r="I186" s="761"/>
      <c r="J186" s="761"/>
      <c r="K186" s="761"/>
      <c r="L186" s="761"/>
      <c r="M186" s="761"/>
      <c r="N186" s="761"/>
      <c r="O186" s="761"/>
      <c r="P186" s="761"/>
      <c r="Q186" s="761"/>
      <c r="R186" s="761"/>
      <c r="S186" s="761"/>
      <c r="T186" s="761"/>
      <c r="U186" s="761"/>
      <c r="V186" s="761"/>
      <c r="W186" s="761"/>
      <c r="X186" s="762"/>
      <c r="Y186" s="6"/>
      <c r="Z186" s="6"/>
      <c r="AA186" s="22"/>
    </row>
    <row r="187" spans="2:27" x14ac:dyDescent="0.25">
      <c r="B187" s="21"/>
      <c r="C187" s="6"/>
      <c r="D187" s="760"/>
      <c r="E187" s="761"/>
      <c r="F187" s="761"/>
      <c r="G187" s="761"/>
      <c r="H187" s="761"/>
      <c r="I187" s="761"/>
      <c r="J187" s="761"/>
      <c r="K187" s="761"/>
      <c r="L187" s="761"/>
      <c r="M187" s="761"/>
      <c r="N187" s="761"/>
      <c r="O187" s="761"/>
      <c r="P187" s="761"/>
      <c r="Q187" s="761"/>
      <c r="R187" s="761"/>
      <c r="S187" s="761"/>
      <c r="T187" s="761"/>
      <c r="U187" s="761"/>
      <c r="V187" s="761"/>
      <c r="W187" s="761"/>
      <c r="X187" s="762"/>
      <c r="Y187" s="6"/>
      <c r="Z187" s="6"/>
      <c r="AA187" s="22"/>
    </row>
    <row r="188" spans="2:27" x14ac:dyDescent="0.25">
      <c r="B188" s="21"/>
      <c r="C188" s="6"/>
      <c r="D188" s="763"/>
      <c r="E188" s="764"/>
      <c r="F188" s="764"/>
      <c r="G188" s="764"/>
      <c r="H188" s="764"/>
      <c r="I188" s="764"/>
      <c r="J188" s="764"/>
      <c r="K188" s="764"/>
      <c r="L188" s="764"/>
      <c r="M188" s="764"/>
      <c r="N188" s="764"/>
      <c r="O188" s="764"/>
      <c r="P188" s="764"/>
      <c r="Q188" s="764"/>
      <c r="R188" s="764"/>
      <c r="S188" s="764"/>
      <c r="T188" s="764"/>
      <c r="U188" s="764"/>
      <c r="V188" s="764"/>
      <c r="W188" s="764"/>
      <c r="X188" s="765"/>
      <c r="Y188" s="6"/>
      <c r="Z188" s="6"/>
      <c r="AA188" s="22"/>
    </row>
    <row r="189" spans="2:27" x14ac:dyDescent="0.25">
      <c r="B189" s="21"/>
      <c r="C189" s="6"/>
      <c r="D189" s="6"/>
      <c r="E189" s="6"/>
      <c r="F189" s="6"/>
      <c r="G189" s="6"/>
      <c r="H189" s="6"/>
      <c r="I189" s="6"/>
      <c r="J189" s="6"/>
      <c r="K189" s="6"/>
      <c r="L189" s="6"/>
      <c r="M189" s="6"/>
      <c r="N189" s="6"/>
      <c r="O189" s="6"/>
      <c r="P189" s="6"/>
      <c r="Q189" s="6"/>
      <c r="R189" s="6"/>
      <c r="S189" s="6"/>
      <c r="T189" s="6"/>
      <c r="U189" s="6"/>
      <c r="V189" s="6"/>
      <c r="W189" s="6"/>
      <c r="X189" s="6"/>
      <c r="Y189" s="6"/>
      <c r="Z189" s="6"/>
      <c r="AA189" s="22"/>
    </row>
    <row r="190" spans="2:27" ht="15.75" thickBot="1" x14ac:dyDescent="0.3">
      <c r="B190" s="24"/>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6"/>
    </row>
    <row r="193" spans="2:27" ht="15.75" thickBot="1" x14ac:dyDescent="0.3"/>
    <row r="194" spans="2:27" x14ac:dyDescent="0.25">
      <c r="B194" s="18"/>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20"/>
    </row>
    <row r="195" spans="2:27" x14ac:dyDescent="0.25">
      <c r="B195" s="21"/>
      <c r="C195" s="6"/>
      <c r="D195" s="6"/>
      <c r="E195" s="6"/>
      <c r="F195" s="6"/>
      <c r="G195" s="6"/>
      <c r="H195" s="6"/>
      <c r="I195" s="6"/>
      <c r="J195" s="6"/>
      <c r="K195" s="6"/>
      <c r="L195" s="6"/>
      <c r="M195" s="6"/>
      <c r="N195" s="6"/>
      <c r="O195" s="6"/>
      <c r="P195" s="6"/>
      <c r="Q195" s="6"/>
      <c r="R195" s="6"/>
      <c r="S195" s="6"/>
      <c r="T195" s="6"/>
      <c r="U195" s="6"/>
      <c r="V195" s="6"/>
      <c r="Y195" s="6"/>
      <c r="Z195" s="6"/>
      <c r="AA195" s="22"/>
    </row>
    <row r="196" spans="2:27" x14ac:dyDescent="0.25">
      <c r="B196" s="21"/>
      <c r="C196" s="105" t="s">
        <v>284</v>
      </c>
      <c r="D196" s="51"/>
      <c r="E196" s="51"/>
      <c r="F196" s="51"/>
      <c r="G196" s="51"/>
      <c r="H196" s="47"/>
      <c r="I196" s="773"/>
      <c r="J196" s="774"/>
      <c r="K196" s="6"/>
      <c r="L196" s="6"/>
      <c r="M196" s="6"/>
      <c r="N196" s="6"/>
      <c r="O196" s="6"/>
      <c r="P196" s="6"/>
      <c r="Q196" s="6"/>
      <c r="R196" s="6"/>
      <c r="S196" s="6"/>
      <c r="T196" s="6"/>
      <c r="U196" s="6"/>
      <c r="V196" s="6"/>
      <c r="Y196" s="6"/>
      <c r="Z196" s="6"/>
      <c r="AA196" s="22"/>
    </row>
    <row r="197" spans="2:27" x14ac:dyDescent="0.25">
      <c r="B197" s="21"/>
      <c r="C197" s="6"/>
      <c r="D197" s="6"/>
      <c r="E197" s="6"/>
      <c r="F197" s="6"/>
      <c r="G197" s="6"/>
      <c r="H197" s="6"/>
      <c r="I197" s="6"/>
      <c r="J197" s="6"/>
      <c r="K197" s="6"/>
      <c r="L197" s="6"/>
      <c r="M197" s="6"/>
      <c r="N197" s="6"/>
      <c r="O197" s="6"/>
      <c r="P197" s="6"/>
      <c r="Q197" s="6"/>
      <c r="R197" s="6"/>
      <c r="S197" s="6"/>
      <c r="T197" s="6"/>
      <c r="U197" s="6"/>
      <c r="V197" s="6"/>
      <c r="W197" s="6"/>
      <c r="X197" s="6"/>
      <c r="Y197" s="6"/>
      <c r="Z197" s="6"/>
      <c r="AA197" s="22"/>
    </row>
    <row r="198" spans="2:27" x14ac:dyDescent="0.25">
      <c r="B198" s="21"/>
      <c r="C198" s="46"/>
      <c r="D198" s="6"/>
      <c r="E198" s="6"/>
      <c r="F198" s="6"/>
      <c r="G198" s="6"/>
      <c r="H198" s="6"/>
      <c r="I198" s="6"/>
      <c r="J198" s="6"/>
      <c r="K198" s="6"/>
      <c r="L198" s="783" t="s">
        <v>245</v>
      </c>
      <c r="M198" s="783"/>
      <c r="N198" s="6"/>
      <c r="O198" s="6"/>
      <c r="P198" s="6"/>
      <c r="Q198" s="6"/>
      <c r="R198" s="6"/>
      <c r="S198" s="6"/>
      <c r="T198" s="6"/>
      <c r="U198" s="6"/>
      <c r="V198" s="6"/>
      <c r="W198" s="770" t="s">
        <v>723</v>
      </c>
      <c r="X198" s="770"/>
      <c r="Y198" s="6"/>
      <c r="Z198" s="6"/>
      <c r="AA198" s="22"/>
    </row>
    <row r="199" spans="2:27" x14ac:dyDescent="0.25">
      <c r="B199" s="21"/>
      <c r="C199" s="6"/>
      <c r="D199" s="44" t="s">
        <v>290</v>
      </c>
      <c r="E199" s="44"/>
      <c r="F199" s="44"/>
      <c r="G199" s="44"/>
      <c r="H199" s="49"/>
      <c r="I199" s="786">
        <f>IFERROR(SUM(I196),0)</f>
        <v>0</v>
      </c>
      <c r="J199" s="787"/>
      <c r="K199" s="6"/>
      <c r="L199" s="784">
        <f>IFERROR(IF(I199&gt;=3,1,0),0)</f>
        <v>0</v>
      </c>
      <c r="M199" s="785"/>
      <c r="N199" s="173"/>
      <c r="O199" s="6"/>
      <c r="P199" s="6"/>
      <c r="Q199" s="6"/>
      <c r="R199" s="6"/>
      <c r="S199" s="6"/>
      <c r="T199" s="6"/>
      <c r="U199" s="6"/>
      <c r="V199" s="6"/>
      <c r="W199" s="800">
        <v>1</v>
      </c>
      <c r="X199" s="801"/>
      <c r="Y199" s="6"/>
      <c r="Z199" s="6"/>
      <c r="AA199" s="22"/>
    </row>
    <row r="200" spans="2:27" x14ac:dyDescent="0.25">
      <c r="B200" s="21"/>
      <c r="C200" s="6"/>
      <c r="D200" s="6"/>
      <c r="E200" s="6"/>
      <c r="F200" s="6"/>
      <c r="G200" s="6"/>
      <c r="H200" s="6"/>
      <c r="I200" s="6"/>
      <c r="J200" s="6"/>
      <c r="K200" s="6"/>
      <c r="L200" s="6"/>
      <c r="M200" s="6"/>
      <c r="N200" s="6"/>
      <c r="O200" s="6"/>
      <c r="P200" s="6"/>
      <c r="Q200" s="6"/>
      <c r="R200" s="6"/>
      <c r="S200" s="6"/>
      <c r="T200" s="6"/>
      <c r="U200" s="6"/>
      <c r="V200" s="6"/>
      <c r="Y200" s="6"/>
      <c r="Z200" s="6"/>
      <c r="AA200" s="22"/>
    </row>
    <row r="201" spans="2:27" x14ac:dyDescent="0.25">
      <c r="B201" s="21"/>
      <c r="C201" s="6"/>
      <c r="E201" s="6"/>
      <c r="F201" s="6"/>
      <c r="G201" s="6"/>
      <c r="H201" s="6"/>
      <c r="I201" s="6"/>
      <c r="J201" s="6"/>
      <c r="K201" s="6"/>
      <c r="L201" s="6"/>
      <c r="M201" s="6"/>
      <c r="N201" s="6"/>
      <c r="O201" s="6"/>
      <c r="P201" s="6"/>
      <c r="Q201" s="6"/>
      <c r="R201" s="6"/>
      <c r="S201" s="6"/>
      <c r="T201" s="6"/>
      <c r="U201" s="6"/>
      <c r="V201" s="6"/>
      <c r="Y201" s="6"/>
      <c r="Z201" s="6"/>
      <c r="AA201" s="22"/>
    </row>
    <row r="202" spans="2:27" x14ac:dyDescent="0.25">
      <c r="B202" s="21"/>
      <c r="C202" s="6"/>
      <c r="D202" s="102" t="s">
        <v>2532</v>
      </c>
      <c r="E202" s="6"/>
      <c r="F202" s="6"/>
      <c r="G202" s="6"/>
      <c r="H202" s="6"/>
      <c r="I202" s="6"/>
      <c r="J202" s="6"/>
      <c r="K202" s="6"/>
      <c r="L202" s="6"/>
      <c r="M202" s="6"/>
      <c r="N202" s="6"/>
      <c r="O202" s="6"/>
      <c r="P202" s="6"/>
      <c r="Q202" s="6"/>
      <c r="R202" s="6"/>
      <c r="S202" s="6"/>
      <c r="T202" s="6"/>
      <c r="U202" s="6"/>
      <c r="V202" s="6"/>
      <c r="W202" s="6"/>
      <c r="X202" s="6"/>
      <c r="Y202" s="6"/>
      <c r="Z202" s="6"/>
      <c r="AA202" s="22"/>
    </row>
    <row r="203" spans="2:27" x14ac:dyDescent="0.25">
      <c r="B203" s="21"/>
      <c r="C203" s="6"/>
      <c r="D203" s="757"/>
      <c r="E203" s="758"/>
      <c r="F203" s="758"/>
      <c r="G203" s="758"/>
      <c r="H203" s="758"/>
      <c r="I203" s="758"/>
      <c r="J203" s="758"/>
      <c r="K203" s="758"/>
      <c r="L203" s="758"/>
      <c r="M203" s="758"/>
      <c r="N203" s="758"/>
      <c r="O203" s="758"/>
      <c r="P203" s="758"/>
      <c r="Q203" s="758"/>
      <c r="R203" s="758"/>
      <c r="S203" s="758"/>
      <c r="T203" s="758"/>
      <c r="U203" s="758"/>
      <c r="V203" s="758"/>
      <c r="W203" s="758"/>
      <c r="X203" s="759"/>
      <c r="Y203" s="6"/>
      <c r="Z203" s="6"/>
      <c r="AA203" s="22"/>
    </row>
    <row r="204" spans="2:27" x14ac:dyDescent="0.25">
      <c r="B204" s="21"/>
      <c r="C204" s="6"/>
      <c r="D204" s="760"/>
      <c r="E204" s="761"/>
      <c r="F204" s="761"/>
      <c r="G204" s="761"/>
      <c r="H204" s="761"/>
      <c r="I204" s="761"/>
      <c r="J204" s="761"/>
      <c r="K204" s="761"/>
      <c r="L204" s="761"/>
      <c r="M204" s="761"/>
      <c r="N204" s="761"/>
      <c r="O204" s="761"/>
      <c r="P204" s="761"/>
      <c r="Q204" s="761"/>
      <c r="R204" s="761"/>
      <c r="S204" s="761"/>
      <c r="T204" s="761"/>
      <c r="U204" s="761"/>
      <c r="V204" s="761"/>
      <c r="W204" s="761"/>
      <c r="X204" s="762"/>
      <c r="Y204" s="6"/>
      <c r="Z204" s="6"/>
      <c r="AA204" s="22"/>
    </row>
    <row r="205" spans="2:27" x14ac:dyDescent="0.25">
      <c r="B205" s="21"/>
      <c r="C205" s="6"/>
      <c r="D205" s="760"/>
      <c r="E205" s="761"/>
      <c r="F205" s="761"/>
      <c r="G205" s="761"/>
      <c r="H205" s="761"/>
      <c r="I205" s="761"/>
      <c r="J205" s="761"/>
      <c r="K205" s="761"/>
      <c r="L205" s="761"/>
      <c r="M205" s="761"/>
      <c r="N205" s="761"/>
      <c r="O205" s="761"/>
      <c r="P205" s="761"/>
      <c r="Q205" s="761"/>
      <c r="R205" s="761"/>
      <c r="S205" s="761"/>
      <c r="T205" s="761"/>
      <c r="U205" s="761"/>
      <c r="V205" s="761"/>
      <c r="W205" s="761"/>
      <c r="X205" s="762"/>
      <c r="Y205" s="6"/>
      <c r="Z205" s="6"/>
      <c r="AA205" s="22"/>
    </row>
    <row r="206" spans="2:27" x14ac:dyDescent="0.25">
      <c r="B206" s="21"/>
      <c r="C206" s="6"/>
      <c r="D206" s="760"/>
      <c r="E206" s="761"/>
      <c r="F206" s="761"/>
      <c r="G206" s="761"/>
      <c r="H206" s="761"/>
      <c r="I206" s="761"/>
      <c r="J206" s="761"/>
      <c r="K206" s="761"/>
      <c r="L206" s="761"/>
      <c r="M206" s="761"/>
      <c r="N206" s="761"/>
      <c r="O206" s="761"/>
      <c r="P206" s="761"/>
      <c r="Q206" s="761"/>
      <c r="R206" s="761"/>
      <c r="S206" s="761"/>
      <c r="T206" s="761"/>
      <c r="U206" s="761"/>
      <c r="V206" s="761"/>
      <c r="W206" s="761"/>
      <c r="X206" s="762"/>
      <c r="Y206" s="6"/>
      <c r="Z206" s="6"/>
      <c r="AA206" s="22"/>
    </row>
    <row r="207" spans="2:27" x14ac:dyDescent="0.25">
      <c r="B207" s="21"/>
      <c r="C207" s="6"/>
      <c r="D207" s="763"/>
      <c r="E207" s="764"/>
      <c r="F207" s="764"/>
      <c r="G207" s="764"/>
      <c r="H207" s="764"/>
      <c r="I207" s="764"/>
      <c r="J207" s="764"/>
      <c r="K207" s="764"/>
      <c r="L207" s="764"/>
      <c r="M207" s="764"/>
      <c r="N207" s="764"/>
      <c r="O207" s="764"/>
      <c r="P207" s="764"/>
      <c r="Q207" s="764"/>
      <c r="R207" s="764"/>
      <c r="S207" s="764"/>
      <c r="T207" s="764"/>
      <c r="U207" s="764"/>
      <c r="V207" s="764"/>
      <c r="W207" s="764"/>
      <c r="X207" s="765"/>
      <c r="Y207" s="6"/>
      <c r="Z207" s="6"/>
      <c r="AA207" s="22"/>
    </row>
    <row r="208" spans="2:27" x14ac:dyDescent="0.25">
      <c r="B208" s="21"/>
      <c r="C208" s="6"/>
      <c r="D208" s="6"/>
      <c r="E208" s="6"/>
      <c r="F208" s="6"/>
      <c r="G208" s="6"/>
      <c r="H208" s="6"/>
      <c r="I208" s="6"/>
      <c r="J208" s="6"/>
      <c r="K208" s="6"/>
      <c r="L208" s="6"/>
      <c r="M208" s="6"/>
      <c r="N208" s="6"/>
      <c r="O208" s="6"/>
      <c r="P208" s="6"/>
      <c r="Q208" s="6"/>
      <c r="R208" s="6"/>
      <c r="S208" s="6"/>
      <c r="T208" s="6"/>
      <c r="U208" s="6"/>
      <c r="V208" s="6"/>
      <c r="Y208" s="6"/>
      <c r="Z208" s="6"/>
      <c r="AA208" s="22"/>
    </row>
    <row r="209" spans="2:27" ht="15.75" thickBot="1" x14ac:dyDescent="0.3">
      <c r="B209" s="24"/>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6"/>
    </row>
    <row r="212" spans="2:27" ht="15.75" thickBot="1" x14ac:dyDescent="0.3"/>
    <row r="213" spans="2:27" x14ac:dyDescent="0.25">
      <c r="B213" s="18"/>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20"/>
    </row>
    <row r="214" spans="2:27" x14ac:dyDescent="0.25">
      <c r="B214" s="21"/>
      <c r="C214" s="6"/>
      <c r="D214" s="6"/>
      <c r="E214" s="6"/>
      <c r="F214" s="6"/>
      <c r="G214" s="6"/>
      <c r="H214" s="6"/>
      <c r="I214" s="6"/>
      <c r="J214" s="6"/>
      <c r="K214" s="6"/>
      <c r="L214" s="6"/>
      <c r="M214" s="6"/>
      <c r="N214" s="6"/>
      <c r="O214" s="6"/>
      <c r="P214" s="6"/>
      <c r="Q214" s="6"/>
      <c r="R214" s="6"/>
      <c r="S214" s="6"/>
      <c r="T214" s="6"/>
      <c r="U214" s="6"/>
      <c r="V214" s="6"/>
      <c r="W214" s="6"/>
      <c r="X214" s="6"/>
      <c r="Y214" s="6"/>
      <c r="Z214" s="6"/>
      <c r="AA214" s="22"/>
    </row>
    <row r="215" spans="2:27" x14ac:dyDescent="0.25">
      <c r="B215" s="21"/>
      <c r="C215" s="102" t="s">
        <v>2614</v>
      </c>
      <c r="D215" s="6"/>
      <c r="E215" s="6"/>
      <c r="F215" s="6"/>
      <c r="G215" s="6"/>
      <c r="H215" s="6"/>
      <c r="I215" s="773"/>
      <c r="J215" s="774"/>
      <c r="K215" s="6"/>
      <c r="L215" s="6"/>
      <c r="M215" s="6"/>
      <c r="N215" s="6"/>
      <c r="O215" s="6"/>
      <c r="P215" s="6"/>
      <c r="Q215" s="6"/>
      <c r="R215" s="6"/>
      <c r="S215" s="6"/>
      <c r="T215" s="6"/>
      <c r="U215" s="6"/>
      <c r="V215" s="6"/>
      <c r="W215" s="6"/>
      <c r="X215" s="6"/>
      <c r="Y215" s="6"/>
      <c r="Z215" s="6"/>
      <c r="AA215" s="22"/>
    </row>
    <row r="216" spans="2:27" x14ac:dyDescent="0.25">
      <c r="B216" s="21"/>
      <c r="C216" s="102" t="s">
        <v>2615</v>
      </c>
      <c r="D216" s="6"/>
      <c r="E216" s="6"/>
      <c r="F216" s="6"/>
      <c r="G216" s="6"/>
      <c r="H216" s="6"/>
      <c r="I216" s="773"/>
      <c r="J216" s="774"/>
      <c r="K216" s="6"/>
      <c r="L216" s="6"/>
      <c r="M216" s="6"/>
      <c r="N216" s="6"/>
      <c r="O216" s="6"/>
      <c r="P216" s="6"/>
      <c r="Q216" s="6"/>
      <c r="R216" s="6"/>
      <c r="S216" s="6"/>
      <c r="T216" s="6"/>
      <c r="U216" s="6"/>
      <c r="V216" s="6"/>
      <c r="W216" s="6"/>
      <c r="X216" s="6"/>
      <c r="Y216" s="6"/>
      <c r="Z216" s="6"/>
      <c r="AA216" s="22"/>
    </row>
    <row r="217" spans="2:27" x14ac:dyDescent="0.25">
      <c r="B217" s="21"/>
      <c r="C217" s="6"/>
      <c r="D217" s="6"/>
      <c r="E217" s="6"/>
      <c r="F217" s="6"/>
      <c r="G217" s="6"/>
      <c r="H217" s="6"/>
      <c r="I217" s="6"/>
      <c r="J217" s="6"/>
      <c r="K217" s="6"/>
      <c r="L217" s="6"/>
      <c r="M217" s="6"/>
      <c r="N217" s="6"/>
      <c r="O217" s="6"/>
      <c r="P217" s="6"/>
      <c r="Q217" s="6"/>
      <c r="R217" s="6"/>
      <c r="S217" s="6"/>
      <c r="T217" s="6"/>
      <c r="U217" s="6"/>
      <c r="V217" s="6"/>
      <c r="W217" s="6"/>
      <c r="X217" s="6"/>
      <c r="Y217" s="6"/>
      <c r="Z217" s="6"/>
      <c r="AA217" s="22"/>
    </row>
    <row r="218" spans="2:27" x14ac:dyDescent="0.25">
      <c r="B218" s="21"/>
      <c r="C218" s="6"/>
      <c r="D218" s="6"/>
      <c r="E218" s="6"/>
      <c r="F218" s="6"/>
      <c r="G218" s="6"/>
      <c r="H218" s="6"/>
      <c r="I218" s="6"/>
      <c r="J218" s="6"/>
      <c r="K218" s="6"/>
      <c r="L218" s="6"/>
      <c r="M218" s="6"/>
      <c r="N218" s="6"/>
      <c r="O218" s="6"/>
      <c r="P218" s="6"/>
      <c r="Q218" s="6"/>
      <c r="R218" s="6"/>
      <c r="S218" s="6"/>
      <c r="T218" s="6"/>
      <c r="U218" s="6"/>
      <c r="V218" s="6"/>
      <c r="W218" s="6"/>
      <c r="X218" s="6"/>
      <c r="Y218" s="6"/>
      <c r="Z218" s="6"/>
      <c r="AA218" s="22"/>
    </row>
    <row r="219" spans="2:27" x14ac:dyDescent="0.25">
      <c r="B219" s="21"/>
      <c r="C219" s="102" t="s">
        <v>2574</v>
      </c>
      <c r="D219" s="6"/>
      <c r="E219" s="6"/>
      <c r="F219" s="6"/>
      <c r="G219" s="6"/>
      <c r="H219" s="6"/>
      <c r="I219" s="6"/>
      <c r="J219" s="6"/>
      <c r="K219" s="6"/>
      <c r="L219" s="6"/>
      <c r="M219" s="6"/>
      <c r="N219" s="6"/>
      <c r="O219" s="6"/>
      <c r="P219" s="6"/>
      <c r="Q219" s="6"/>
      <c r="R219" s="6"/>
      <c r="S219" s="6"/>
      <c r="T219" s="6"/>
      <c r="U219" s="6"/>
      <c r="V219" s="6"/>
      <c r="W219" s="6"/>
      <c r="X219" s="6"/>
      <c r="Y219" s="6"/>
      <c r="Z219" s="6"/>
      <c r="AA219" s="22"/>
    </row>
    <row r="220" spans="2:27" x14ac:dyDescent="0.25">
      <c r="B220" s="21"/>
      <c r="C220" s="757"/>
      <c r="D220" s="758"/>
      <c r="E220" s="758"/>
      <c r="F220" s="758"/>
      <c r="G220" s="758"/>
      <c r="H220" s="758"/>
      <c r="I220" s="758"/>
      <c r="J220" s="758"/>
      <c r="K220" s="758"/>
      <c r="L220" s="758"/>
      <c r="M220" s="758"/>
      <c r="N220" s="758"/>
      <c r="O220" s="758"/>
      <c r="P220" s="758"/>
      <c r="Q220" s="758"/>
      <c r="R220" s="758"/>
      <c r="S220" s="758"/>
      <c r="T220" s="758"/>
      <c r="U220" s="759"/>
      <c r="V220" s="6"/>
      <c r="W220" s="6"/>
      <c r="X220" s="6"/>
      <c r="Y220" s="6"/>
      <c r="Z220" s="6"/>
      <c r="AA220" s="22"/>
    </row>
    <row r="221" spans="2:27" x14ac:dyDescent="0.25">
      <c r="B221" s="21"/>
      <c r="C221" s="760"/>
      <c r="D221" s="761"/>
      <c r="E221" s="761"/>
      <c r="F221" s="761"/>
      <c r="G221" s="761"/>
      <c r="H221" s="761"/>
      <c r="I221" s="761"/>
      <c r="J221" s="761"/>
      <c r="K221" s="761"/>
      <c r="L221" s="761"/>
      <c r="M221" s="761"/>
      <c r="N221" s="761"/>
      <c r="O221" s="761"/>
      <c r="P221" s="761"/>
      <c r="Q221" s="761"/>
      <c r="R221" s="761"/>
      <c r="S221" s="761"/>
      <c r="T221" s="761"/>
      <c r="U221" s="762"/>
      <c r="V221" s="6"/>
      <c r="W221" s="6"/>
      <c r="X221" s="6"/>
      <c r="Y221" s="6"/>
      <c r="Z221" s="6"/>
      <c r="AA221" s="22"/>
    </row>
    <row r="222" spans="2:27" x14ac:dyDescent="0.25">
      <c r="B222" s="21"/>
      <c r="C222" s="760"/>
      <c r="D222" s="761"/>
      <c r="E222" s="761"/>
      <c r="F222" s="761"/>
      <c r="G222" s="761"/>
      <c r="H222" s="761"/>
      <c r="I222" s="761"/>
      <c r="J222" s="761"/>
      <c r="K222" s="761"/>
      <c r="L222" s="761"/>
      <c r="M222" s="761"/>
      <c r="N222" s="761"/>
      <c r="O222" s="761"/>
      <c r="P222" s="761"/>
      <c r="Q222" s="761"/>
      <c r="R222" s="761"/>
      <c r="S222" s="761"/>
      <c r="T222" s="761"/>
      <c r="U222" s="762"/>
      <c r="V222" s="6"/>
      <c r="W222" s="6"/>
      <c r="X222" s="6"/>
      <c r="Y222" s="6"/>
      <c r="Z222" s="6"/>
      <c r="AA222" s="22"/>
    </row>
    <row r="223" spans="2:27" x14ac:dyDescent="0.25">
      <c r="B223" s="21"/>
      <c r="C223" s="760"/>
      <c r="D223" s="761"/>
      <c r="E223" s="761"/>
      <c r="F223" s="761"/>
      <c r="G223" s="761"/>
      <c r="H223" s="761"/>
      <c r="I223" s="761"/>
      <c r="J223" s="761"/>
      <c r="K223" s="761"/>
      <c r="L223" s="761"/>
      <c r="M223" s="761"/>
      <c r="N223" s="761"/>
      <c r="O223" s="761"/>
      <c r="P223" s="761"/>
      <c r="Q223" s="761"/>
      <c r="R223" s="761"/>
      <c r="S223" s="761"/>
      <c r="T223" s="761"/>
      <c r="U223" s="762"/>
      <c r="V223" s="6"/>
      <c r="W223" s="6"/>
      <c r="X223" s="6"/>
      <c r="Y223" s="6"/>
      <c r="Z223" s="6"/>
      <c r="AA223" s="22"/>
    </row>
    <row r="224" spans="2:27" x14ac:dyDescent="0.25">
      <c r="B224" s="21"/>
      <c r="C224" s="760"/>
      <c r="D224" s="761"/>
      <c r="E224" s="761"/>
      <c r="F224" s="761"/>
      <c r="G224" s="761"/>
      <c r="H224" s="761"/>
      <c r="I224" s="761"/>
      <c r="J224" s="761"/>
      <c r="K224" s="761"/>
      <c r="L224" s="761"/>
      <c r="M224" s="761"/>
      <c r="N224" s="761"/>
      <c r="O224" s="761"/>
      <c r="P224" s="761"/>
      <c r="Q224" s="761"/>
      <c r="R224" s="761"/>
      <c r="S224" s="761"/>
      <c r="T224" s="761"/>
      <c r="U224" s="762"/>
      <c r="V224" s="6"/>
      <c r="W224" s="6"/>
      <c r="X224" s="6"/>
      <c r="Y224" s="6"/>
      <c r="Z224" s="6"/>
      <c r="AA224" s="22"/>
    </row>
    <row r="225" spans="2:27" x14ac:dyDescent="0.25">
      <c r="B225" s="21"/>
      <c r="C225" s="763"/>
      <c r="D225" s="764"/>
      <c r="E225" s="764"/>
      <c r="F225" s="764"/>
      <c r="G225" s="764"/>
      <c r="H225" s="764"/>
      <c r="I225" s="764"/>
      <c r="J225" s="764"/>
      <c r="K225" s="764"/>
      <c r="L225" s="764"/>
      <c r="M225" s="764"/>
      <c r="N225" s="764"/>
      <c r="O225" s="764"/>
      <c r="P225" s="764"/>
      <c r="Q225" s="764"/>
      <c r="R225" s="764"/>
      <c r="S225" s="764"/>
      <c r="T225" s="764"/>
      <c r="U225" s="765"/>
      <c r="V225" s="6"/>
      <c r="W225" s="6"/>
      <c r="X225" s="6"/>
      <c r="Y225" s="6"/>
      <c r="Z225" s="6"/>
      <c r="AA225" s="22"/>
    </row>
    <row r="226" spans="2:27" x14ac:dyDescent="0.25">
      <c r="B226" s="21"/>
      <c r="C226" s="6"/>
      <c r="D226" s="6"/>
      <c r="E226" s="6"/>
      <c r="F226" s="6"/>
      <c r="G226" s="6"/>
      <c r="H226" s="6"/>
      <c r="I226" s="6"/>
      <c r="J226" s="6"/>
      <c r="K226" s="6"/>
      <c r="L226" s="6"/>
      <c r="M226" s="6"/>
      <c r="N226" s="6"/>
      <c r="O226" s="6"/>
      <c r="P226" s="6"/>
      <c r="Q226" s="6"/>
      <c r="R226" s="6"/>
      <c r="S226" s="6"/>
      <c r="T226" s="6"/>
      <c r="U226" s="6"/>
      <c r="V226" s="6"/>
      <c r="W226" s="6"/>
      <c r="X226" s="6"/>
      <c r="Y226" s="6"/>
      <c r="Z226" s="6"/>
      <c r="AA226" s="22"/>
    </row>
    <row r="227" spans="2:27" x14ac:dyDescent="0.25">
      <c r="B227" s="21"/>
      <c r="C227" s="6"/>
      <c r="D227" s="6"/>
      <c r="E227" s="6"/>
      <c r="F227" s="6"/>
      <c r="G227" s="6"/>
      <c r="H227" s="6"/>
      <c r="I227" s="6"/>
      <c r="J227" s="6"/>
      <c r="K227" s="6"/>
      <c r="L227" s="6"/>
      <c r="M227" s="6"/>
      <c r="N227" s="6"/>
      <c r="O227" s="6"/>
      <c r="P227" s="6"/>
      <c r="Q227" s="6"/>
      <c r="R227" s="6"/>
      <c r="S227" s="6"/>
      <c r="T227" s="6"/>
      <c r="U227" s="6"/>
      <c r="V227" s="6"/>
      <c r="W227" s="6"/>
      <c r="X227" s="6"/>
      <c r="Y227" s="6"/>
      <c r="Z227" s="6"/>
      <c r="AA227" s="22"/>
    </row>
    <row r="228" spans="2:27" x14ac:dyDescent="0.25">
      <c r="B228" s="21"/>
      <c r="C228" s="46"/>
      <c r="D228" s="6"/>
      <c r="E228" s="6"/>
      <c r="F228" s="6"/>
      <c r="G228" s="6"/>
      <c r="H228" s="6"/>
      <c r="I228" s="6"/>
      <c r="J228" s="6"/>
      <c r="K228" s="6"/>
      <c r="L228" s="783" t="s">
        <v>245</v>
      </c>
      <c r="M228" s="783"/>
      <c r="N228" s="6"/>
      <c r="O228" s="6"/>
      <c r="P228" s="6"/>
      <c r="Q228" s="6"/>
      <c r="R228" s="6"/>
      <c r="S228" s="6"/>
      <c r="T228" s="6"/>
      <c r="U228" s="6"/>
      <c r="V228" s="6"/>
      <c r="W228" s="770" t="s">
        <v>723</v>
      </c>
      <c r="X228" s="770"/>
      <c r="Y228" s="6"/>
      <c r="Z228" s="6"/>
      <c r="AA228" s="22"/>
    </row>
    <row r="229" spans="2:27" x14ac:dyDescent="0.25">
      <c r="B229" s="21"/>
      <c r="C229" s="46"/>
      <c r="D229" s="496" t="s">
        <v>2616</v>
      </c>
      <c r="E229" s="496"/>
      <c r="F229" s="496"/>
      <c r="G229" s="496"/>
      <c r="H229" s="496"/>
      <c r="I229" s="496"/>
      <c r="J229" s="44"/>
      <c r="K229" s="49"/>
      <c r="L229" s="788">
        <f>IF(I215=0,0,IF(I215&lt;1,0,IF(I215=1,1,IF(I215=2,2,IF(I215&gt;=3,3,0)))))</f>
        <v>0</v>
      </c>
      <c r="M229" s="789"/>
      <c r="N229" s="6"/>
      <c r="O229" s="6"/>
      <c r="P229" s="6"/>
      <c r="Q229" s="6"/>
      <c r="R229" s="6"/>
      <c r="S229" s="6"/>
      <c r="T229" s="6"/>
      <c r="U229" s="6"/>
      <c r="V229" s="6"/>
      <c r="W229" s="490"/>
      <c r="X229" s="490"/>
      <c r="Y229" s="6"/>
      <c r="Z229" s="6"/>
      <c r="AA229" s="22"/>
    </row>
    <row r="230" spans="2:27" x14ac:dyDescent="0.25">
      <c r="B230" s="21"/>
      <c r="C230" s="46"/>
      <c r="D230" s="497" t="s">
        <v>2617</v>
      </c>
      <c r="E230" s="497"/>
      <c r="F230" s="497"/>
      <c r="G230" s="497"/>
      <c r="H230" s="497"/>
      <c r="I230" s="497"/>
      <c r="J230" s="88"/>
      <c r="K230" s="89"/>
      <c r="L230" s="788">
        <f>IF(I216=0,0,IF(I216&lt;1,0,IF(I216=1,1,IF(I216=2,2,IF(I216&gt;=3,3,0)))))</f>
        <v>0</v>
      </c>
      <c r="M230" s="789"/>
      <c r="N230" s="6"/>
      <c r="O230" s="6"/>
      <c r="P230" s="6"/>
      <c r="Q230" s="6"/>
      <c r="R230" s="6"/>
      <c r="S230" s="6"/>
      <c r="T230" s="6"/>
      <c r="U230" s="6"/>
      <c r="V230" s="6"/>
      <c r="W230" s="490"/>
      <c r="X230" s="490"/>
      <c r="Y230" s="6"/>
      <c r="Z230" s="6"/>
      <c r="AA230" s="22"/>
    </row>
    <row r="231" spans="2:27" x14ac:dyDescent="0.25">
      <c r="B231" s="21"/>
      <c r="C231" s="6"/>
      <c r="D231" s="88" t="s">
        <v>427</v>
      </c>
      <c r="E231" s="88"/>
      <c r="F231" s="88"/>
      <c r="G231" s="88"/>
      <c r="H231" s="88"/>
      <c r="I231" s="498"/>
      <c r="J231" s="498"/>
      <c r="K231" s="89"/>
      <c r="L231" s="781">
        <f>IF(AND(I215="",I216=""),0,SUM(L229:M230))</f>
        <v>0</v>
      </c>
      <c r="M231" s="782"/>
      <c r="N231" s="173"/>
      <c r="O231" s="6"/>
      <c r="P231" s="6"/>
      <c r="Q231" s="6"/>
      <c r="R231" s="6"/>
      <c r="S231" s="6"/>
      <c r="T231" s="6"/>
      <c r="U231" s="6"/>
      <c r="V231" s="6"/>
      <c r="W231" s="771">
        <v>6</v>
      </c>
      <c r="X231" s="772"/>
      <c r="Y231" s="6"/>
      <c r="Z231" s="6"/>
      <c r="AA231" s="22"/>
    </row>
    <row r="232" spans="2:27" x14ac:dyDescent="0.25">
      <c r="B232" s="21"/>
      <c r="C232" s="6"/>
      <c r="D232" s="6"/>
      <c r="E232" s="6"/>
      <c r="F232" s="6"/>
      <c r="G232" s="6"/>
      <c r="H232" s="6"/>
      <c r="I232" s="6"/>
      <c r="J232" s="6"/>
      <c r="K232" s="6"/>
      <c r="L232" s="6"/>
      <c r="M232" s="6"/>
      <c r="N232" s="6"/>
      <c r="O232" s="6"/>
      <c r="P232" s="6"/>
      <c r="Q232" s="6"/>
      <c r="R232" s="6"/>
      <c r="S232" s="6"/>
      <c r="T232" s="6"/>
      <c r="U232" s="6"/>
      <c r="V232" s="6"/>
      <c r="W232" s="6"/>
      <c r="X232" s="6"/>
      <c r="Y232" s="6"/>
      <c r="Z232" s="6"/>
      <c r="AA232" s="22"/>
    </row>
    <row r="233" spans="2:27" ht="15.75" thickBot="1" x14ac:dyDescent="0.3">
      <c r="B233" s="24"/>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6"/>
    </row>
    <row r="236" spans="2:27" ht="15.75" thickBot="1" x14ac:dyDescent="0.3"/>
    <row r="237" spans="2:27" x14ac:dyDescent="0.25">
      <c r="B237" s="18"/>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20"/>
    </row>
    <row r="238" spans="2:27" x14ac:dyDescent="0.25">
      <c r="B238" s="21"/>
      <c r="C238" s="6"/>
      <c r="D238" s="6"/>
      <c r="E238" s="6"/>
      <c r="F238" s="6"/>
      <c r="G238" s="6"/>
      <c r="H238" s="6"/>
      <c r="I238" s="6"/>
      <c r="J238" s="6"/>
      <c r="K238" s="6"/>
      <c r="L238" s="6"/>
      <c r="M238" s="6"/>
      <c r="N238" s="6"/>
      <c r="O238" s="6"/>
      <c r="P238" s="6"/>
      <c r="Q238" s="6"/>
      <c r="R238" s="6"/>
      <c r="S238" s="6"/>
      <c r="T238" s="6"/>
      <c r="U238" s="6"/>
      <c r="V238" s="6"/>
      <c r="W238" s="6"/>
      <c r="X238" s="6"/>
      <c r="Y238" s="6"/>
      <c r="Z238" s="6"/>
      <c r="AA238" s="22"/>
    </row>
    <row r="239" spans="2:27" s="499" customFormat="1" x14ac:dyDescent="0.25">
      <c r="B239" s="21"/>
      <c r="C239" s="173" t="s">
        <v>2622</v>
      </c>
      <c r="D239" s="6"/>
      <c r="E239" s="6"/>
      <c r="F239" s="6"/>
      <c r="G239" s="6"/>
      <c r="H239" s="6"/>
      <c r="I239" s="6"/>
      <c r="J239" s="6"/>
      <c r="K239" s="6"/>
      <c r="L239" s="6"/>
      <c r="M239" s="6"/>
      <c r="N239" s="6"/>
      <c r="O239" s="6"/>
      <c r="P239" s="6"/>
      <c r="Q239" s="6"/>
      <c r="R239" s="6"/>
      <c r="S239" s="6"/>
      <c r="T239" s="6"/>
      <c r="U239" s="6"/>
      <c r="V239" s="6"/>
      <c r="W239" s="6"/>
      <c r="X239" s="6"/>
      <c r="Y239" s="6"/>
      <c r="Z239" s="6"/>
      <c r="AA239" s="22"/>
    </row>
    <row r="240" spans="2:27" s="499" customFormat="1" x14ac:dyDescent="0.25">
      <c r="B240" s="21"/>
      <c r="C240" s="6"/>
      <c r="D240" s="6"/>
      <c r="E240" s="6"/>
      <c r="F240" s="6"/>
      <c r="G240" s="6"/>
      <c r="H240" s="6"/>
      <c r="I240" s="6"/>
      <c r="J240" s="6"/>
      <c r="K240" s="6"/>
      <c r="L240" s="6"/>
      <c r="M240" s="6"/>
      <c r="N240" s="6"/>
      <c r="O240" s="6"/>
      <c r="P240" s="6"/>
      <c r="Q240" s="6"/>
      <c r="R240" s="6"/>
      <c r="S240" s="6"/>
      <c r="T240" s="6"/>
      <c r="U240" s="6"/>
      <c r="V240" s="6"/>
      <c r="W240" s="6"/>
      <c r="X240" s="6"/>
      <c r="Y240" s="6"/>
      <c r="Z240" s="6"/>
      <c r="AA240" s="22"/>
    </row>
    <row r="241" spans="2:27" x14ac:dyDescent="0.25">
      <c r="B241" s="21"/>
      <c r="C241" s="102" t="s">
        <v>587</v>
      </c>
      <c r="D241" s="6"/>
      <c r="E241" s="6"/>
      <c r="F241" s="6"/>
      <c r="G241" s="6"/>
      <c r="H241" s="6"/>
      <c r="I241" s="6"/>
      <c r="J241" s="6"/>
      <c r="K241" s="6"/>
      <c r="L241" s="6"/>
      <c r="M241" s="6"/>
      <c r="N241" s="6"/>
      <c r="O241" s="6"/>
      <c r="P241" s="6"/>
      <c r="Q241" s="6"/>
      <c r="R241" s="6"/>
      <c r="S241" s="6"/>
      <c r="T241" s="6"/>
      <c r="U241" s="6"/>
      <c r="V241" s="6"/>
      <c r="W241" s="6"/>
      <c r="X241" s="6"/>
      <c r="Y241" s="6"/>
      <c r="Z241" s="6"/>
      <c r="AA241" s="22"/>
    </row>
    <row r="242" spans="2:27" x14ac:dyDescent="0.25">
      <c r="B242" s="21"/>
      <c r="C242" s="6"/>
      <c r="D242" s="51" t="s">
        <v>2618</v>
      </c>
      <c r="E242" s="51"/>
      <c r="F242" s="51"/>
      <c r="G242" s="51"/>
      <c r="H242" s="51"/>
      <c r="I242" s="51"/>
      <c r="J242" s="51"/>
      <c r="K242" s="51"/>
      <c r="L242" s="51"/>
      <c r="M242" s="51"/>
      <c r="N242" s="47"/>
      <c r="O242" s="773"/>
      <c r="P242" s="774"/>
      <c r="Q242" s="6"/>
      <c r="R242" s="6"/>
      <c r="S242" s="6"/>
      <c r="T242" s="6"/>
      <c r="U242" s="6"/>
      <c r="V242" s="6"/>
      <c r="W242" s="6"/>
      <c r="X242" s="6"/>
      <c r="Y242" s="6"/>
      <c r="Z242" s="6"/>
      <c r="AA242" s="22"/>
    </row>
    <row r="243" spans="2:27" x14ac:dyDescent="0.25">
      <c r="B243" s="21"/>
      <c r="C243" s="6"/>
      <c r="D243" s="52" t="s">
        <v>2575</v>
      </c>
      <c r="E243" s="52"/>
      <c r="F243" s="52"/>
      <c r="G243" s="52"/>
      <c r="H243" s="52"/>
      <c r="I243" s="52"/>
      <c r="J243" s="52"/>
      <c r="K243" s="48"/>
      <c r="L243" s="52"/>
      <c r="M243" s="52"/>
      <c r="N243" s="48"/>
      <c r="O243" s="773"/>
      <c r="P243" s="774"/>
      <c r="Q243" s="6"/>
      <c r="R243" s="6"/>
      <c r="S243" s="6"/>
      <c r="T243" s="6"/>
      <c r="U243" s="6"/>
      <c r="V243" s="6"/>
      <c r="W243" s="6"/>
      <c r="X243" s="6"/>
      <c r="Y243" s="6"/>
      <c r="Z243" s="6"/>
      <c r="AA243" s="22"/>
    </row>
    <row r="244" spans="2:27" x14ac:dyDescent="0.25">
      <c r="B244" s="21"/>
      <c r="C244" s="6"/>
      <c r="D244" s="6"/>
      <c r="E244" s="6"/>
      <c r="F244" s="6"/>
      <c r="G244" s="6"/>
      <c r="H244" s="6"/>
      <c r="I244" s="6"/>
      <c r="J244" s="6"/>
      <c r="K244" s="6"/>
      <c r="N244" s="6"/>
      <c r="O244" s="6"/>
      <c r="P244" s="6"/>
      <c r="Q244" s="6"/>
      <c r="R244" s="6"/>
      <c r="S244" s="6"/>
      <c r="T244" s="6"/>
      <c r="U244" s="6"/>
      <c r="V244" s="6"/>
      <c r="W244" s="6"/>
      <c r="X244" s="6"/>
      <c r="Y244" s="6"/>
      <c r="Z244" s="6"/>
      <c r="AA244" s="22"/>
    </row>
    <row r="245" spans="2:27" x14ac:dyDescent="0.25">
      <c r="B245" s="21"/>
      <c r="C245" s="6"/>
      <c r="D245" s="6"/>
      <c r="E245" s="6"/>
      <c r="F245" s="6"/>
      <c r="G245" s="6"/>
      <c r="H245" s="6"/>
      <c r="I245" s="6"/>
      <c r="J245" s="6"/>
      <c r="K245" s="6"/>
      <c r="N245" s="6"/>
      <c r="O245" s="6"/>
      <c r="P245" s="6"/>
      <c r="Q245" s="6"/>
      <c r="R245" s="6"/>
      <c r="S245" s="6"/>
      <c r="T245" s="6"/>
      <c r="U245" s="6"/>
      <c r="V245" s="6"/>
      <c r="W245" s="6"/>
      <c r="X245" s="6"/>
      <c r="Y245" s="6"/>
      <c r="Z245" s="6"/>
      <c r="AA245" s="22"/>
    </row>
    <row r="246" spans="2:27" x14ac:dyDescent="0.25">
      <c r="B246" s="21"/>
      <c r="C246" s="46"/>
      <c r="D246" s="6"/>
      <c r="E246" s="6"/>
      <c r="F246" s="6"/>
      <c r="G246" s="6"/>
      <c r="H246" s="6"/>
      <c r="I246" s="6"/>
      <c r="J246" s="6"/>
      <c r="K246" s="6"/>
      <c r="N246" s="6"/>
      <c r="O246" s="783" t="s">
        <v>245</v>
      </c>
      <c r="P246" s="783"/>
      <c r="Q246" s="6"/>
      <c r="R246" s="6"/>
      <c r="S246" s="6"/>
      <c r="T246" s="6"/>
      <c r="U246" s="6"/>
      <c r="V246" s="6"/>
      <c r="W246" s="770" t="s">
        <v>723</v>
      </c>
      <c r="X246" s="770"/>
      <c r="Y246" s="6"/>
      <c r="Z246" s="6"/>
      <c r="AA246" s="22"/>
    </row>
    <row r="247" spans="2:27" x14ac:dyDescent="0.25">
      <c r="B247" s="21"/>
      <c r="C247" s="6"/>
      <c r="D247" s="6"/>
      <c r="E247" s="6"/>
      <c r="F247" s="6"/>
      <c r="G247" s="6"/>
      <c r="H247" s="6"/>
      <c r="I247" s="6"/>
      <c r="J247" s="6"/>
      <c r="K247" s="6"/>
      <c r="L247" s="6"/>
      <c r="N247" s="6"/>
      <c r="O247" s="781">
        <f>IFERROR(IF(OR(O242="Oui",O243="Oui"),1,0),0)</f>
        <v>0</v>
      </c>
      <c r="P247" s="782"/>
      <c r="Q247" s="6"/>
      <c r="R247" s="6"/>
      <c r="S247" s="6"/>
      <c r="T247" s="6"/>
      <c r="U247" s="6"/>
      <c r="V247" s="6"/>
      <c r="W247" s="771">
        <v>1</v>
      </c>
      <c r="X247" s="772"/>
      <c r="Y247" s="6"/>
      <c r="Z247" s="6"/>
      <c r="AA247" s="22"/>
    </row>
    <row r="248" spans="2:27" x14ac:dyDescent="0.25">
      <c r="B248" s="21"/>
      <c r="C248" s="6"/>
      <c r="D248" s="6"/>
      <c r="E248" s="6"/>
      <c r="F248" s="6"/>
      <c r="G248" s="6"/>
      <c r="H248" s="6"/>
      <c r="I248" s="6"/>
      <c r="J248" s="6"/>
      <c r="K248" s="6"/>
      <c r="L248" s="6"/>
      <c r="M248" s="6"/>
      <c r="N248" s="6"/>
      <c r="O248" s="6"/>
      <c r="P248" s="6"/>
      <c r="Q248" s="6"/>
      <c r="R248" s="6"/>
      <c r="S248" s="6"/>
      <c r="T248" s="6"/>
      <c r="U248" s="6"/>
      <c r="V248" s="6"/>
      <c r="W248" s="6"/>
      <c r="X248" s="6"/>
      <c r="Y248" s="6"/>
      <c r="Z248" s="6"/>
      <c r="AA248" s="22"/>
    </row>
    <row r="249" spans="2:27" x14ac:dyDescent="0.25">
      <c r="B249" s="21"/>
      <c r="C249" s="6"/>
      <c r="D249" s="102" t="s">
        <v>2532</v>
      </c>
      <c r="E249" s="6"/>
      <c r="F249" s="6"/>
      <c r="G249" s="6"/>
      <c r="H249" s="6"/>
      <c r="I249" s="6"/>
      <c r="J249" s="6"/>
      <c r="K249" s="6"/>
      <c r="L249" s="6"/>
      <c r="M249" s="6"/>
      <c r="N249" s="6"/>
      <c r="O249" s="6"/>
      <c r="P249" s="6"/>
      <c r="Q249" s="6"/>
      <c r="R249" s="6"/>
      <c r="S249" s="6"/>
      <c r="T249" s="6"/>
      <c r="U249" s="6"/>
      <c r="V249" s="6"/>
      <c r="W249" s="6"/>
      <c r="X249" s="6"/>
      <c r="Y249" s="6"/>
      <c r="Z249" s="6"/>
      <c r="AA249" s="22"/>
    </row>
    <row r="250" spans="2:27" x14ac:dyDescent="0.25">
      <c r="B250" s="21"/>
      <c r="C250" s="6"/>
      <c r="D250" s="757"/>
      <c r="E250" s="758"/>
      <c r="F250" s="758"/>
      <c r="G250" s="758"/>
      <c r="H250" s="758"/>
      <c r="I250" s="758"/>
      <c r="J250" s="758"/>
      <c r="K250" s="758"/>
      <c r="L250" s="758"/>
      <c r="M250" s="758"/>
      <c r="N250" s="758"/>
      <c r="O250" s="758"/>
      <c r="P250" s="758"/>
      <c r="Q250" s="758"/>
      <c r="R250" s="758"/>
      <c r="S250" s="758"/>
      <c r="T250" s="758"/>
      <c r="U250" s="758"/>
      <c r="V250" s="758"/>
      <c r="W250" s="758"/>
      <c r="X250" s="759"/>
      <c r="Y250" s="6"/>
      <c r="Z250" s="6"/>
      <c r="AA250" s="22"/>
    </row>
    <row r="251" spans="2:27" x14ac:dyDescent="0.25">
      <c r="B251" s="21"/>
      <c r="C251" s="6"/>
      <c r="D251" s="760"/>
      <c r="E251" s="761"/>
      <c r="F251" s="761"/>
      <c r="G251" s="761"/>
      <c r="H251" s="761"/>
      <c r="I251" s="761"/>
      <c r="J251" s="761"/>
      <c r="K251" s="761"/>
      <c r="L251" s="761"/>
      <c r="M251" s="761"/>
      <c r="N251" s="761"/>
      <c r="O251" s="761"/>
      <c r="P251" s="761"/>
      <c r="Q251" s="761"/>
      <c r="R251" s="761"/>
      <c r="S251" s="761"/>
      <c r="T251" s="761"/>
      <c r="U251" s="761"/>
      <c r="V251" s="761"/>
      <c r="W251" s="761"/>
      <c r="X251" s="762"/>
      <c r="Y251" s="6"/>
      <c r="Z251" s="6"/>
      <c r="AA251" s="22"/>
    </row>
    <row r="252" spans="2:27" x14ac:dyDescent="0.25">
      <c r="B252" s="21"/>
      <c r="C252" s="6"/>
      <c r="D252" s="760"/>
      <c r="E252" s="761"/>
      <c r="F252" s="761"/>
      <c r="G252" s="761"/>
      <c r="H252" s="761"/>
      <c r="I252" s="761"/>
      <c r="J252" s="761"/>
      <c r="K252" s="761"/>
      <c r="L252" s="761"/>
      <c r="M252" s="761"/>
      <c r="N252" s="761"/>
      <c r="O252" s="761"/>
      <c r="P252" s="761"/>
      <c r="Q252" s="761"/>
      <c r="R252" s="761"/>
      <c r="S252" s="761"/>
      <c r="T252" s="761"/>
      <c r="U252" s="761"/>
      <c r="V252" s="761"/>
      <c r="W252" s="761"/>
      <c r="X252" s="762"/>
      <c r="Y252" s="6"/>
      <c r="Z252" s="6"/>
      <c r="AA252" s="22"/>
    </row>
    <row r="253" spans="2:27" x14ac:dyDescent="0.25">
      <c r="B253" s="21"/>
      <c r="C253" s="6"/>
      <c r="D253" s="760"/>
      <c r="E253" s="761"/>
      <c r="F253" s="761"/>
      <c r="G253" s="761"/>
      <c r="H253" s="761"/>
      <c r="I253" s="761"/>
      <c r="J253" s="761"/>
      <c r="K253" s="761"/>
      <c r="L253" s="761"/>
      <c r="M253" s="761"/>
      <c r="N253" s="761"/>
      <c r="O253" s="761"/>
      <c r="P253" s="761"/>
      <c r="Q253" s="761"/>
      <c r="R253" s="761"/>
      <c r="S253" s="761"/>
      <c r="T253" s="761"/>
      <c r="U253" s="761"/>
      <c r="V253" s="761"/>
      <c r="W253" s="761"/>
      <c r="X253" s="762"/>
      <c r="Y253" s="6"/>
      <c r="Z253" s="6"/>
      <c r="AA253" s="22"/>
    </row>
    <row r="254" spans="2:27" x14ac:dyDescent="0.25">
      <c r="B254" s="21"/>
      <c r="C254" s="6"/>
      <c r="D254" s="763"/>
      <c r="E254" s="764"/>
      <c r="F254" s="764"/>
      <c r="G254" s="764"/>
      <c r="H254" s="764"/>
      <c r="I254" s="764"/>
      <c r="J254" s="764"/>
      <c r="K254" s="764"/>
      <c r="L254" s="764"/>
      <c r="M254" s="764"/>
      <c r="N254" s="764"/>
      <c r="O254" s="764"/>
      <c r="P254" s="764"/>
      <c r="Q254" s="764"/>
      <c r="R254" s="764"/>
      <c r="S254" s="764"/>
      <c r="T254" s="764"/>
      <c r="U254" s="764"/>
      <c r="V254" s="764"/>
      <c r="W254" s="764"/>
      <c r="X254" s="765"/>
      <c r="Y254" s="6"/>
      <c r="Z254" s="6"/>
      <c r="AA254" s="22"/>
    </row>
    <row r="255" spans="2:27" x14ac:dyDescent="0.25">
      <c r="B255" s="21"/>
      <c r="C255" s="6"/>
      <c r="D255" s="6"/>
      <c r="E255" s="6"/>
      <c r="F255" s="6"/>
      <c r="G255" s="6"/>
      <c r="H255" s="6"/>
      <c r="I255" s="6"/>
      <c r="J255" s="6"/>
      <c r="K255" s="6"/>
      <c r="L255" s="6"/>
      <c r="M255" s="6"/>
      <c r="N255" s="6"/>
      <c r="O255" s="6"/>
      <c r="P255" s="6"/>
      <c r="Q255" s="6"/>
      <c r="R255" s="6"/>
      <c r="S255" s="6"/>
      <c r="T255" s="6"/>
      <c r="U255" s="6"/>
      <c r="V255" s="6"/>
      <c r="W255" s="6"/>
      <c r="X255" s="6"/>
      <c r="Y255" s="6"/>
      <c r="Z255" s="6"/>
      <c r="AA255" s="22"/>
    </row>
    <row r="256" spans="2:27" ht="15.75" thickBot="1" x14ac:dyDescent="0.3">
      <c r="B256" s="24"/>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6"/>
    </row>
    <row r="259" spans="2:27" ht="15.75" thickBot="1" x14ac:dyDescent="0.3"/>
    <row r="260" spans="2:27" x14ac:dyDescent="0.25">
      <c r="B260" s="10"/>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2"/>
    </row>
    <row r="261" spans="2:27" x14ac:dyDescent="0.25">
      <c r="B261" s="13"/>
      <c r="C261" s="6"/>
      <c r="D261" s="6"/>
      <c r="E261" s="6"/>
      <c r="F261" s="6"/>
      <c r="G261" s="6"/>
      <c r="H261" s="6"/>
      <c r="I261" s="6"/>
      <c r="J261" s="6"/>
      <c r="K261" s="6"/>
      <c r="L261" s="6"/>
      <c r="M261" s="6"/>
      <c r="N261" s="6"/>
      <c r="O261" s="6"/>
      <c r="P261" s="6"/>
      <c r="Q261" s="6"/>
      <c r="R261" s="6"/>
      <c r="S261" s="6"/>
      <c r="T261" s="6"/>
      <c r="U261" s="6"/>
      <c r="V261" s="6"/>
      <c r="W261" s="6"/>
      <c r="X261" s="6"/>
      <c r="Y261" s="6"/>
      <c r="Z261" s="6"/>
      <c r="AA261" s="14"/>
    </row>
    <row r="262" spans="2:27" x14ac:dyDescent="0.25">
      <c r="B262" s="13"/>
      <c r="C262" s="6"/>
      <c r="D262" s="6"/>
      <c r="E262" s="6"/>
      <c r="F262" s="6"/>
      <c r="G262" s="6"/>
      <c r="H262" s="6"/>
      <c r="I262" s="6"/>
      <c r="J262" s="6"/>
      <c r="K262" s="6"/>
      <c r="L262" s="6"/>
      <c r="M262" s="6"/>
      <c r="N262" s="6"/>
      <c r="O262" s="6"/>
      <c r="P262" s="6"/>
      <c r="Q262" s="6"/>
      <c r="R262" s="6"/>
      <c r="S262" s="6"/>
      <c r="T262" s="6"/>
      <c r="U262" s="6"/>
      <c r="V262" s="6"/>
      <c r="W262" s="770" t="s">
        <v>723</v>
      </c>
      <c r="X262" s="770"/>
      <c r="Y262" s="6"/>
      <c r="Z262" s="6"/>
      <c r="AA262" s="14"/>
    </row>
    <row r="263" spans="2:27" x14ac:dyDescent="0.25">
      <c r="B263" s="13"/>
      <c r="C263" s="6"/>
      <c r="D263" s="86" t="s">
        <v>2361</v>
      </c>
      <c r="E263" s="44"/>
      <c r="F263" s="44"/>
      <c r="G263" s="44"/>
      <c r="H263" s="44"/>
      <c r="I263" s="44"/>
      <c r="J263" s="44"/>
      <c r="K263" s="44"/>
      <c r="L263" s="44"/>
      <c r="M263" s="44"/>
      <c r="N263" s="44"/>
      <c r="O263" s="44"/>
      <c r="P263" s="44"/>
      <c r="Q263" s="44"/>
      <c r="R263" s="49"/>
      <c r="S263" s="781">
        <f>W58+S85+Q112+O154+L180+L199+L231+O247</f>
        <v>0</v>
      </c>
      <c r="T263" s="782"/>
      <c r="U263" s="6"/>
      <c r="V263" s="6"/>
      <c r="W263" s="771">
        <f>Y58+W85+W112+W154+W180+W199+W231+W247</f>
        <v>36</v>
      </c>
      <c r="X263" s="772"/>
      <c r="Y263" s="6"/>
      <c r="Z263" s="6"/>
      <c r="AA263" s="14"/>
    </row>
    <row r="264" spans="2:27" x14ac:dyDescent="0.25">
      <c r="B264" s="13"/>
      <c r="C264" s="6"/>
      <c r="D264" s="6"/>
      <c r="E264" s="6"/>
      <c r="F264" s="6"/>
      <c r="G264" s="6"/>
      <c r="H264" s="6"/>
      <c r="I264" s="6"/>
      <c r="J264" s="6"/>
      <c r="K264" s="6"/>
      <c r="L264" s="6"/>
      <c r="M264" s="6"/>
      <c r="N264" s="6"/>
      <c r="O264" s="6"/>
      <c r="P264" s="6"/>
      <c r="Q264" s="6"/>
      <c r="R264" s="6"/>
      <c r="S264" s="6"/>
      <c r="T264" s="6"/>
      <c r="U264" s="6"/>
      <c r="V264" s="6"/>
      <c r="W264" s="6"/>
      <c r="X264" s="6"/>
      <c r="Y264" s="6"/>
      <c r="Z264" s="6"/>
      <c r="AA264" s="14"/>
    </row>
    <row r="265" spans="2:27" x14ac:dyDescent="0.25">
      <c r="B265" s="13"/>
      <c r="C265" s="6"/>
      <c r="D265" s="6"/>
      <c r="E265" s="6"/>
      <c r="F265" s="6"/>
      <c r="G265" s="6"/>
      <c r="H265" s="6"/>
      <c r="I265" s="6"/>
      <c r="J265" s="6"/>
      <c r="K265" s="6"/>
      <c r="L265" s="6"/>
      <c r="M265" s="6"/>
      <c r="N265" s="6"/>
      <c r="O265" s="6"/>
      <c r="P265" s="6"/>
      <c r="Q265" s="6"/>
      <c r="R265" s="6"/>
      <c r="S265" s="6"/>
      <c r="T265" s="6"/>
      <c r="U265" s="6"/>
      <c r="V265" s="6"/>
      <c r="W265" s="6"/>
      <c r="X265" s="6"/>
      <c r="Y265" s="6"/>
      <c r="Z265" s="6"/>
      <c r="AA265" s="14"/>
    </row>
    <row r="266" spans="2:27" x14ac:dyDescent="0.25">
      <c r="B266" s="13"/>
      <c r="C266" s="6"/>
      <c r="D266" s="102" t="s">
        <v>2532</v>
      </c>
      <c r="E266" s="6"/>
      <c r="F266" s="6"/>
      <c r="G266" s="6"/>
      <c r="H266" s="6"/>
      <c r="I266" s="6"/>
      <c r="J266" s="6"/>
      <c r="K266" s="6"/>
      <c r="L266" s="6"/>
      <c r="M266" s="6"/>
      <c r="N266" s="6"/>
      <c r="O266" s="6"/>
      <c r="P266" s="6"/>
      <c r="Q266" s="6"/>
      <c r="R266" s="6"/>
      <c r="S266" s="6"/>
      <c r="T266" s="6"/>
      <c r="U266" s="6"/>
      <c r="V266" s="6"/>
      <c r="W266" s="6"/>
      <c r="X266" s="6"/>
      <c r="Y266" s="6"/>
      <c r="Z266" s="6"/>
      <c r="AA266" s="14"/>
    </row>
    <row r="267" spans="2:27" x14ac:dyDescent="0.25">
      <c r="B267" s="13"/>
      <c r="C267" s="6"/>
      <c r="D267" s="757"/>
      <c r="E267" s="758"/>
      <c r="F267" s="758"/>
      <c r="G267" s="758"/>
      <c r="H267" s="758"/>
      <c r="I267" s="758"/>
      <c r="J267" s="758"/>
      <c r="K267" s="758"/>
      <c r="L267" s="758"/>
      <c r="M267" s="758"/>
      <c r="N267" s="758"/>
      <c r="O267" s="758"/>
      <c r="P267" s="758"/>
      <c r="Q267" s="758"/>
      <c r="R267" s="758"/>
      <c r="S267" s="758"/>
      <c r="T267" s="758"/>
      <c r="U267" s="758"/>
      <c r="V267" s="758"/>
      <c r="W267" s="758"/>
      <c r="X267" s="759"/>
      <c r="Y267" s="6"/>
      <c r="Z267" s="6"/>
      <c r="AA267" s="14"/>
    </row>
    <row r="268" spans="2:27" x14ac:dyDescent="0.25">
      <c r="B268" s="13"/>
      <c r="C268" s="6"/>
      <c r="D268" s="760"/>
      <c r="E268" s="761"/>
      <c r="F268" s="761"/>
      <c r="G268" s="761"/>
      <c r="H268" s="761"/>
      <c r="I268" s="761"/>
      <c r="J268" s="761"/>
      <c r="K268" s="761"/>
      <c r="L268" s="761"/>
      <c r="M268" s="761"/>
      <c r="N268" s="761"/>
      <c r="O268" s="761"/>
      <c r="P268" s="761"/>
      <c r="Q268" s="761"/>
      <c r="R268" s="761"/>
      <c r="S268" s="761"/>
      <c r="T268" s="761"/>
      <c r="U268" s="761"/>
      <c r="V268" s="761"/>
      <c r="W268" s="761"/>
      <c r="X268" s="762"/>
      <c r="Y268" s="6"/>
      <c r="Z268" s="6"/>
      <c r="AA268" s="14"/>
    </row>
    <row r="269" spans="2:27" x14ac:dyDescent="0.25">
      <c r="B269" s="13"/>
      <c r="C269" s="6"/>
      <c r="D269" s="760"/>
      <c r="E269" s="761"/>
      <c r="F269" s="761"/>
      <c r="G269" s="761"/>
      <c r="H269" s="761"/>
      <c r="I269" s="761"/>
      <c r="J269" s="761"/>
      <c r="K269" s="761"/>
      <c r="L269" s="761"/>
      <c r="M269" s="761"/>
      <c r="N269" s="761"/>
      <c r="O269" s="761"/>
      <c r="P269" s="761"/>
      <c r="Q269" s="761"/>
      <c r="R269" s="761"/>
      <c r="S269" s="761"/>
      <c r="T269" s="761"/>
      <c r="U269" s="761"/>
      <c r="V269" s="761"/>
      <c r="W269" s="761"/>
      <c r="X269" s="762"/>
      <c r="Y269" s="6"/>
      <c r="Z269" s="6"/>
      <c r="AA269" s="14"/>
    </row>
    <row r="270" spans="2:27" x14ac:dyDescent="0.25">
      <c r="B270" s="13"/>
      <c r="C270" s="6"/>
      <c r="D270" s="760"/>
      <c r="E270" s="761"/>
      <c r="F270" s="761"/>
      <c r="G270" s="761"/>
      <c r="H270" s="761"/>
      <c r="I270" s="761"/>
      <c r="J270" s="761"/>
      <c r="K270" s="761"/>
      <c r="L270" s="761"/>
      <c r="M270" s="761"/>
      <c r="N270" s="761"/>
      <c r="O270" s="761"/>
      <c r="P270" s="761"/>
      <c r="Q270" s="761"/>
      <c r="R270" s="761"/>
      <c r="S270" s="761"/>
      <c r="T270" s="761"/>
      <c r="U270" s="761"/>
      <c r="V270" s="761"/>
      <c r="W270" s="761"/>
      <c r="X270" s="762"/>
      <c r="Y270" s="6"/>
      <c r="Z270" s="6"/>
      <c r="AA270" s="14"/>
    </row>
    <row r="271" spans="2:27" x14ac:dyDescent="0.25">
      <c r="B271" s="13"/>
      <c r="C271" s="6"/>
      <c r="D271" s="760"/>
      <c r="E271" s="761"/>
      <c r="F271" s="761"/>
      <c r="G271" s="761"/>
      <c r="H271" s="761"/>
      <c r="I271" s="761"/>
      <c r="J271" s="761"/>
      <c r="K271" s="761"/>
      <c r="L271" s="761"/>
      <c r="M271" s="761"/>
      <c r="N271" s="761"/>
      <c r="O271" s="761"/>
      <c r="P271" s="761"/>
      <c r="Q271" s="761"/>
      <c r="R271" s="761"/>
      <c r="S271" s="761"/>
      <c r="T271" s="761"/>
      <c r="U271" s="761"/>
      <c r="V271" s="761"/>
      <c r="W271" s="761"/>
      <c r="X271" s="762"/>
      <c r="Y271" s="6"/>
      <c r="Z271" s="6"/>
      <c r="AA271" s="14"/>
    </row>
    <row r="272" spans="2:27" x14ac:dyDescent="0.25">
      <c r="B272" s="13"/>
      <c r="C272" s="6"/>
      <c r="D272" s="760"/>
      <c r="E272" s="761"/>
      <c r="F272" s="761"/>
      <c r="G272" s="761"/>
      <c r="H272" s="761"/>
      <c r="I272" s="761"/>
      <c r="J272" s="761"/>
      <c r="K272" s="761"/>
      <c r="L272" s="761"/>
      <c r="M272" s="761"/>
      <c r="N272" s="761"/>
      <c r="O272" s="761"/>
      <c r="P272" s="761"/>
      <c r="Q272" s="761"/>
      <c r="R272" s="761"/>
      <c r="S272" s="761"/>
      <c r="T272" s="761"/>
      <c r="U272" s="761"/>
      <c r="V272" s="761"/>
      <c r="W272" s="761"/>
      <c r="X272" s="762"/>
      <c r="Y272" s="6"/>
      <c r="Z272" s="6"/>
      <c r="AA272" s="14"/>
    </row>
    <row r="273" spans="2:27" x14ac:dyDescent="0.25">
      <c r="B273" s="13"/>
      <c r="C273" s="6"/>
      <c r="D273" s="760"/>
      <c r="E273" s="761"/>
      <c r="F273" s="761"/>
      <c r="G273" s="761"/>
      <c r="H273" s="761"/>
      <c r="I273" s="761"/>
      <c r="J273" s="761"/>
      <c r="K273" s="761"/>
      <c r="L273" s="761"/>
      <c r="M273" s="761"/>
      <c r="N273" s="761"/>
      <c r="O273" s="761"/>
      <c r="P273" s="761"/>
      <c r="Q273" s="761"/>
      <c r="R273" s="761"/>
      <c r="S273" s="761"/>
      <c r="T273" s="761"/>
      <c r="U273" s="761"/>
      <c r="V273" s="761"/>
      <c r="W273" s="761"/>
      <c r="X273" s="762"/>
      <c r="Y273" s="6"/>
      <c r="Z273" s="6"/>
      <c r="AA273" s="14"/>
    </row>
    <row r="274" spans="2:27" x14ac:dyDescent="0.25">
      <c r="B274" s="13"/>
      <c r="C274" s="6"/>
      <c r="D274" s="760"/>
      <c r="E274" s="761"/>
      <c r="F274" s="761"/>
      <c r="G274" s="761"/>
      <c r="H274" s="761"/>
      <c r="I274" s="761"/>
      <c r="J274" s="761"/>
      <c r="K274" s="761"/>
      <c r="L274" s="761"/>
      <c r="M274" s="761"/>
      <c r="N274" s="761"/>
      <c r="O274" s="761"/>
      <c r="P274" s="761"/>
      <c r="Q274" s="761"/>
      <c r="R274" s="761"/>
      <c r="S274" s="761"/>
      <c r="T274" s="761"/>
      <c r="U274" s="761"/>
      <c r="V274" s="761"/>
      <c r="W274" s="761"/>
      <c r="X274" s="762"/>
      <c r="Y274" s="6"/>
      <c r="Z274" s="6"/>
      <c r="AA274" s="14"/>
    </row>
    <row r="275" spans="2:27" x14ac:dyDescent="0.25">
      <c r="B275" s="13"/>
      <c r="C275" s="6"/>
      <c r="D275" s="760"/>
      <c r="E275" s="761"/>
      <c r="F275" s="761"/>
      <c r="G275" s="761"/>
      <c r="H275" s="761"/>
      <c r="I275" s="761"/>
      <c r="J275" s="761"/>
      <c r="K275" s="761"/>
      <c r="L275" s="761"/>
      <c r="M275" s="761"/>
      <c r="N275" s="761"/>
      <c r="O275" s="761"/>
      <c r="P275" s="761"/>
      <c r="Q275" s="761"/>
      <c r="R275" s="761"/>
      <c r="S275" s="761"/>
      <c r="T275" s="761"/>
      <c r="U275" s="761"/>
      <c r="V275" s="761"/>
      <c r="W275" s="761"/>
      <c r="X275" s="762"/>
      <c r="Y275" s="6"/>
      <c r="Z275" s="6"/>
      <c r="AA275" s="14"/>
    </row>
    <row r="276" spans="2:27" x14ac:dyDescent="0.25">
      <c r="B276" s="13"/>
      <c r="C276" s="6"/>
      <c r="D276" s="763"/>
      <c r="E276" s="764"/>
      <c r="F276" s="764"/>
      <c r="G276" s="764"/>
      <c r="H276" s="764"/>
      <c r="I276" s="764"/>
      <c r="J276" s="764"/>
      <c r="K276" s="764"/>
      <c r="L276" s="764"/>
      <c r="M276" s="764"/>
      <c r="N276" s="764"/>
      <c r="O276" s="764"/>
      <c r="P276" s="764"/>
      <c r="Q276" s="764"/>
      <c r="R276" s="764"/>
      <c r="S276" s="764"/>
      <c r="T276" s="764"/>
      <c r="U276" s="764"/>
      <c r="V276" s="764"/>
      <c r="W276" s="764"/>
      <c r="X276" s="765"/>
      <c r="Y276" s="6"/>
      <c r="Z276" s="6"/>
      <c r="AA276" s="14"/>
    </row>
    <row r="277" spans="2:27" x14ac:dyDescent="0.25">
      <c r="B277" s="13"/>
      <c r="C277" s="6"/>
      <c r="D277" s="6"/>
      <c r="E277" s="6"/>
      <c r="F277" s="6"/>
      <c r="G277" s="6"/>
      <c r="H277" s="6"/>
      <c r="I277" s="6"/>
      <c r="J277" s="6"/>
      <c r="K277" s="6"/>
      <c r="L277" s="6"/>
      <c r="M277" s="6"/>
      <c r="N277" s="6"/>
      <c r="O277" s="6"/>
      <c r="P277" s="6"/>
      <c r="Q277" s="6"/>
      <c r="R277" s="6"/>
      <c r="S277" s="6"/>
      <c r="T277" s="6"/>
      <c r="U277" s="6"/>
      <c r="V277" s="6"/>
      <c r="W277" s="6"/>
      <c r="X277" s="6"/>
      <c r="Y277" s="6"/>
      <c r="Z277" s="6"/>
      <c r="AA277" s="14"/>
    </row>
    <row r="278" spans="2:27" ht="15.75" thickBot="1" x14ac:dyDescent="0.3">
      <c r="B278" s="15"/>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7"/>
    </row>
  </sheetData>
  <sheetProtection algorithmName="SHA-512" hashValue="o6j4JWhk26kG5vbfI5TQcrDkZ0B5Shl8EpfRV61Cezr1UhrriHZP8lad3TIEPyXl35DEdy6dSHPtRxweahGdnw==" saltValue="r291Jj99rRbNjBeW71Yiyw==" spinCount="100000" sheet="1" objects="1" scenarios="1"/>
  <mergeCells count="242">
    <mergeCell ref="D250:X254"/>
    <mergeCell ref="D267:X276"/>
    <mergeCell ref="W262:X262"/>
    <mergeCell ref="W263:X263"/>
    <mergeCell ref="S263:T263"/>
    <mergeCell ref="W58:X58"/>
    <mergeCell ref="E63:Y72"/>
    <mergeCell ref="E88:Y92"/>
    <mergeCell ref="E109:M109"/>
    <mergeCell ref="N109:O109"/>
    <mergeCell ref="E116:Y120"/>
    <mergeCell ref="L153:M153"/>
    <mergeCell ref="D158:X162"/>
    <mergeCell ref="D184:X188"/>
    <mergeCell ref="L180:M180"/>
    <mergeCell ref="O154:P154"/>
    <mergeCell ref="I129:J129"/>
    <mergeCell ref="I130:J130"/>
    <mergeCell ref="L130:M130"/>
    <mergeCell ref="N110:O110"/>
    <mergeCell ref="I196:J196"/>
    <mergeCell ref="I176:J176"/>
    <mergeCell ref="I174:J174"/>
    <mergeCell ref="W85:X85"/>
    <mergeCell ref="P14:Q16"/>
    <mergeCell ref="R14:S16"/>
    <mergeCell ref="T13:U16"/>
    <mergeCell ref="W14:X16"/>
    <mergeCell ref="Y14:Z16"/>
    <mergeCell ref="C35:O35"/>
    <mergeCell ref="P35:Q35"/>
    <mergeCell ref="R35:S35"/>
    <mergeCell ref="T35:U35"/>
    <mergeCell ref="W35:X35"/>
    <mergeCell ref="Y35:Z35"/>
    <mergeCell ref="T18:U18"/>
    <mergeCell ref="T17:U17"/>
    <mergeCell ref="T29:U29"/>
    <mergeCell ref="P20:Q20"/>
    <mergeCell ref="P19:Q19"/>
    <mergeCell ref="P18:Q18"/>
    <mergeCell ref="P29:Q29"/>
    <mergeCell ref="P28:Q28"/>
    <mergeCell ref="P27:Q27"/>
    <mergeCell ref="P17:Q17"/>
    <mergeCell ref="P13:S13"/>
    <mergeCell ref="T26:U26"/>
    <mergeCell ref="T25:U25"/>
    <mergeCell ref="AA4:AB4"/>
    <mergeCell ref="W12:Z12"/>
    <mergeCell ref="T28:U28"/>
    <mergeCell ref="T27:U27"/>
    <mergeCell ref="I140:J140"/>
    <mergeCell ref="L152:M152"/>
    <mergeCell ref="L148:M148"/>
    <mergeCell ref="W17:X17"/>
    <mergeCell ref="P26:Q26"/>
    <mergeCell ref="P25:Q25"/>
    <mergeCell ref="P24:Q24"/>
    <mergeCell ref="P23:Q23"/>
    <mergeCell ref="P22:Q22"/>
    <mergeCell ref="P21:Q21"/>
    <mergeCell ref="P33:Q33"/>
    <mergeCell ref="P32:Q32"/>
    <mergeCell ref="P31:Q31"/>
    <mergeCell ref="P30:Q30"/>
    <mergeCell ref="W23:X23"/>
    <mergeCell ref="W22:X22"/>
    <mergeCell ref="W21:X21"/>
    <mergeCell ref="P12:U12"/>
    <mergeCell ref="T19:U19"/>
    <mergeCell ref="Y13:Z13"/>
    <mergeCell ref="W13:X13"/>
    <mergeCell ref="Y22:Z22"/>
    <mergeCell ref="Y21:Z21"/>
    <mergeCell ref="Y20:Z20"/>
    <mergeCell ref="Y19:Z19"/>
    <mergeCell ref="Y18:Z18"/>
    <mergeCell ref="Y17:Z17"/>
    <mergeCell ref="W20:X20"/>
    <mergeCell ref="W19:X19"/>
    <mergeCell ref="Y28:Z28"/>
    <mergeCell ref="Y27:Z27"/>
    <mergeCell ref="Y26:Z26"/>
    <mergeCell ref="Y25:Z25"/>
    <mergeCell ref="Y24:Z24"/>
    <mergeCell ref="Y23:Z23"/>
    <mergeCell ref="W28:X28"/>
    <mergeCell ref="W27:X27"/>
    <mergeCell ref="T24:U24"/>
    <mergeCell ref="T23:U23"/>
    <mergeCell ref="C21:O21"/>
    <mergeCell ref="C20:O20"/>
    <mergeCell ref="C19:O19"/>
    <mergeCell ref="C18:O18"/>
    <mergeCell ref="R21:S21"/>
    <mergeCell ref="W26:X26"/>
    <mergeCell ref="W25:X25"/>
    <mergeCell ref="W24:X24"/>
    <mergeCell ref="W18:X18"/>
    <mergeCell ref="T22:U22"/>
    <mergeCell ref="T21:U21"/>
    <mergeCell ref="T20:U20"/>
    <mergeCell ref="R22:S22"/>
    <mergeCell ref="R23:S23"/>
    <mergeCell ref="R24:S24"/>
    <mergeCell ref="Y34:Z34"/>
    <mergeCell ref="Y57:Z57"/>
    <mergeCell ref="T56:U56"/>
    <mergeCell ref="T53:U53"/>
    <mergeCell ref="R27:S27"/>
    <mergeCell ref="C17:O17"/>
    <mergeCell ref="R17:S17"/>
    <mergeCell ref="R18:S18"/>
    <mergeCell ref="R19:S19"/>
    <mergeCell ref="R20:S20"/>
    <mergeCell ref="C33:O33"/>
    <mergeCell ref="C32:O32"/>
    <mergeCell ref="C31:O31"/>
    <mergeCell ref="C30:O30"/>
    <mergeCell ref="C29:O29"/>
    <mergeCell ref="C28:O28"/>
    <mergeCell ref="C27:O27"/>
    <mergeCell ref="C26:O26"/>
    <mergeCell ref="C25:O25"/>
    <mergeCell ref="R30:S30"/>
    <mergeCell ref="R31:S31"/>
    <mergeCell ref="C24:O24"/>
    <mergeCell ref="C23:O23"/>
    <mergeCell ref="C22:O22"/>
    <mergeCell ref="W53:X53"/>
    <mergeCell ref="W56:X56"/>
    <mergeCell ref="W39:X39"/>
    <mergeCell ref="W48:X48"/>
    <mergeCell ref="W41:X41"/>
    <mergeCell ref="R25:S25"/>
    <mergeCell ref="R26:S26"/>
    <mergeCell ref="Y58:Z58"/>
    <mergeCell ref="T60:U60"/>
    <mergeCell ref="Y33:Z33"/>
    <mergeCell ref="W34:X34"/>
    <mergeCell ref="Y31:Z31"/>
    <mergeCell ref="Y30:Z30"/>
    <mergeCell ref="Y29:Z29"/>
    <mergeCell ref="Y32:Z32"/>
    <mergeCell ref="T33:U33"/>
    <mergeCell ref="T32:U32"/>
    <mergeCell ref="T30:U30"/>
    <mergeCell ref="T31:U31"/>
    <mergeCell ref="W33:X33"/>
    <mergeCell ref="W32:X32"/>
    <mergeCell ref="W31:X31"/>
    <mergeCell ref="W30:X30"/>
    <mergeCell ref="W29:X29"/>
    <mergeCell ref="R28:S28"/>
    <mergeCell ref="R29:S29"/>
    <mergeCell ref="R32:S32"/>
    <mergeCell ref="R33:S33"/>
    <mergeCell ref="C104:M104"/>
    <mergeCell ref="C105:M105"/>
    <mergeCell ref="T46:U46"/>
    <mergeCell ref="T47:U47"/>
    <mergeCell ref="T48:U48"/>
    <mergeCell ref="T42:U42"/>
    <mergeCell ref="T43:U43"/>
    <mergeCell ref="T44:U44"/>
    <mergeCell ref="N104:R104"/>
    <mergeCell ref="N105:O105"/>
    <mergeCell ref="T52:U52"/>
    <mergeCell ref="P85:Q85"/>
    <mergeCell ref="P82:Q82"/>
    <mergeCell ref="P84:Q84"/>
    <mergeCell ref="C34:O34"/>
    <mergeCell ref="P34:Q34"/>
    <mergeCell ref="R34:S34"/>
    <mergeCell ref="T34:U34"/>
    <mergeCell ref="T51:U51"/>
    <mergeCell ref="P83:Q83"/>
    <mergeCell ref="S80:T80"/>
    <mergeCell ref="S85:T85"/>
    <mergeCell ref="N111:O111"/>
    <mergeCell ref="N112:O112"/>
    <mergeCell ref="L179:M179"/>
    <mergeCell ref="L154:M154"/>
    <mergeCell ref="W111:X111"/>
    <mergeCell ref="W112:X112"/>
    <mergeCell ref="W152:X152"/>
    <mergeCell ref="W154:X154"/>
    <mergeCell ref="W179:X179"/>
    <mergeCell ref="Q109:R109"/>
    <mergeCell ref="Q112:R112"/>
    <mergeCell ref="E110:M110"/>
    <mergeCell ref="L133:M133"/>
    <mergeCell ref="L134:M134"/>
    <mergeCell ref="D136:H137"/>
    <mergeCell ref="I133:J133"/>
    <mergeCell ref="I134:J134"/>
    <mergeCell ref="I135:J135"/>
    <mergeCell ref="I136:J137"/>
    <mergeCell ref="I128:J128"/>
    <mergeCell ref="K128:N129"/>
    <mergeCell ref="E112:M112"/>
    <mergeCell ref="E111:M111"/>
    <mergeCell ref="C220:U225"/>
    <mergeCell ref="I180:J180"/>
    <mergeCell ref="I173:J173"/>
    <mergeCell ref="I172:J172"/>
    <mergeCell ref="I171:J171"/>
    <mergeCell ref="I175:J175"/>
    <mergeCell ref="I147:J147"/>
    <mergeCell ref="I148:J148"/>
    <mergeCell ref="I141:J141"/>
    <mergeCell ref="L141:M141"/>
    <mergeCell ref="I143:J143"/>
    <mergeCell ref="I145:J145"/>
    <mergeCell ref="D203:X207"/>
    <mergeCell ref="W180:X180"/>
    <mergeCell ref="W198:X198"/>
    <mergeCell ref="W199:X199"/>
    <mergeCell ref="W228:X228"/>
    <mergeCell ref="W231:X231"/>
    <mergeCell ref="W246:X246"/>
    <mergeCell ref="W247:X247"/>
    <mergeCell ref="I146:J146"/>
    <mergeCell ref="L135:M135"/>
    <mergeCell ref="L136:M137"/>
    <mergeCell ref="L150:M150"/>
    <mergeCell ref="O150:P150"/>
    <mergeCell ref="O247:P247"/>
    <mergeCell ref="L228:M228"/>
    <mergeCell ref="L231:M231"/>
    <mergeCell ref="O242:P242"/>
    <mergeCell ref="O243:P243"/>
    <mergeCell ref="O246:P246"/>
    <mergeCell ref="L199:M199"/>
    <mergeCell ref="L198:M198"/>
    <mergeCell ref="I199:J199"/>
    <mergeCell ref="I215:J215"/>
    <mergeCell ref="I216:J216"/>
    <mergeCell ref="L229:M229"/>
    <mergeCell ref="L230:M230"/>
    <mergeCell ref="I144:J144"/>
  </mergeCells>
  <phoneticPr fontId="15" type="noConversion"/>
  <conditionalFormatting sqref="W41:X41">
    <cfRule type="expression" dxfId="55" priority="2">
      <formula>$W$48="OK"</formula>
    </cfRule>
    <cfRule type="expression" dxfId="54" priority="3">
      <formula>$W$48="KO"</formula>
    </cfRule>
  </conditionalFormatting>
  <conditionalFormatting sqref="W48:X48">
    <cfRule type="expression" dxfId="53" priority="4">
      <formula>$W$48="OK"</formula>
    </cfRule>
    <cfRule type="expression" dxfId="52" priority="5">
      <formula>$W$48="KO"</formula>
    </cfRule>
  </conditionalFormatting>
  <conditionalFormatting sqref="S82:Y82">
    <cfRule type="expression" dxfId="51" priority="1">
      <formula>$S$82&lt;&gt;""</formula>
    </cfRule>
  </conditionalFormatting>
  <dataValidations count="5">
    <dataValidation type="list" allowBlank="1" showInputMessage="1" showErrorMessage="1" sqref="O242:P243 T60:U60">
      <formula1>"Oui,Non"</formula1>
    </dataValidation>
    <dataValidation type="whole" allowBlank="1" showInputMessage="1" showErrorMessage="1" sqref="I215:J216">
      <formula1>0</formula1>
      <formula2>1000</formula2>
    </dataValidation>
    <dataValidation type="whole" allowBlank="1" showInputMessage="1" showErrorMessage="1" sqref="I196:J196">
      <formula1>0</formula1>
      <formula2>100000</formula2>
    </dataValidation>
    <dataValidation type="whole" allowBlank="1" showInputMessage="1" showErrorMessage="1" sqref="I171:J176">
      <formula1>0</formula1>
      <formula2>100</formula2>
    </dataValidation>
    <dataValidation type="whole" allowBlank="1" showInputMessage="1" showErrorMessage="1" sqref="I129:J130 I133:J133 I145:J148">
      <formula1>0</formula1>
      <formula2>10000</formula2>
    </dataValidation>
  </dataValidations>
  <pageMargins left="0.7" right="0.7" top="0.75" bottom="0.75" header="0.3" footer="0.3"/>
  <pageSetup paperSize="9" scale="5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AM385"/>
  <sheetViews>
    <sheetView showGridLines="0" zoomScale="80" zoomScaleNormal="80" workbookViewId="0">
      <pane ySplit="5" topLeftCell="A6" activePane="bottomLeft" state="frozen"/>
      <selection activeCell="AA19" sqref="AA19"/>
      <selection pane="bottomLeft" activeCell="J12" sqref="J12"/>
    </sheetView>
  </sheetViews>
  <sheetFormatPr baseColWidth="10" defaultColWidth="9.140625" defaultRowHeight="15" x14ac:dyDescent="0.25"/>
  <cols>
    <col min="7" max="7" width="19.7109375" customWidth="1"/>
    <col min="26" max="26" width="11.85546875" customWidth="1"/>
    <col min="28" max="28" width="12.140625" customWidth="1"/>
    <col min="29" max="29" width="14.42578125" bestFit="1" customWidth="1"/>
    <col min="30" max="30" width="7.140625" bestFit="1" customWidth="1"/>
    <col min="31" max="31" width="8.140625" customWidth="1"/>
    <col min="32" max="32" width="6.140625" hidden="1" customWidth="1"/>
    <col min="33" max="33" width="7" hidden="1" customWidth="1"/>
    <col min="34" max="34" width="52.140625" hidden="1" customWidth="1"/>
    <col min="35" max="39" width="9.140625" hidden="1" customWidth="1"/>
    <col min="40" max="43" width="9.140625" customWidth="1"/>
  </cols>
  <sheetData>
    <row r="1" spans="1:30" x14ac:dyDescent="0.25">
      <c r="A1" s="29"/>
      <c r="B1" s="29"/>
      <c r="C1" s="29"/>
      <c r="D1" s="29"/>
      <c r="E1" s="29"/>
      <c r="F1" s="29"/>
      <c r="G1" s="29"/>
      <c r="H1" s="29"/>
      <c r="I1" s="29"/>
      <c r="J1" s="29"/>
      <c r="K1" s="81"/>
      <c r="L1" s="81"/>
      <c r="M1" s="81"/>
      <c r="N1" s="81"/>
      <c r="O1" s="29"/>
      <c r="P1" s="29"/>
      <c r="Q1" s="29"/>
      <c r="R1" s="29"/>
      <c r="S1" s="29"/>
      <c r="T1" s="29"/>
      <c r="U1" s="29"/>
      <c r="V1" s="29"/>
      <c r="W1" s="81" t="s">
        <v>715</v>
      </c>
      <c r="X1" s="29"/>
      <c r="Y1" s="29"/>
      <c r="Z1" s="29"/>
      <c r="AA1" s="29"/>
      <c r="AB1" s="29"/>
      <c r="AC1" s="29"/>
      <c r="AD1" s="29"/>
    </row>
    <row r="2" spans="1:30" x14ac:dyDescent="0.25">
      <c r="A2" s="29"/>
      <c r="B2" s="29"/>
      <c r="C2" s="29"/>
      <c r="D2" s="29"/>
      <c r="E2" s="29"/>
      <c r="F2" s="29"/>
      <c r="G2" s="29"/>
      <c r="H2" s="29"/>
      <c r="I2" s="29"/>
      <c r="J2" s="29"/>
      <c r="K2" s="81"/>
      <c r="L2" s="81"/>
      <c r="M2" s="81"/>
      <c r="N2" s="81"/>
      <c r="O2" s="29"/>
      <c r="P2" s="29"/>
      <c r="Q2" s="29"/>
      <c r="R2" s="29"/>
      <c r="S2" s="29"/>
      <c r="T2" s="29"/>
      <c r="U2" s="29"/>
      <c r="V2" s="29"/>
      <c r="W2" s="81" t="s">
        <v>716</v>
      </c>
      <c r="X2" s="29"/>
      <c r="Y2" s="29"/>
      <c r="Z2" s="29"/>
      <c r="AA2" s="29"/>
      <c r="AB2" s="29"/>
      <c r="AC2" s="29"/>
      <c r="AD2" s="29"/>
    </row>
    <row r="3" spans="1:30" x14ac:dyDescent="0.25">
      <c r="A3" s="29"/>
      <c r="B3" s="29"/>
      <c r="C3" s="29"/>
      <c r="D3" s="29"/>
      <c r="E3" s="29"/>
      <c r="F3" s="29"/>
      <c r="G3" s="29"/>
      <c r="H3" s="29"/>
      <c r="I3" s="29"/>
      <c r="J3" s="29"/>
      <c r="K3" s="81"/>
      <c r="L3" s="81"/>
      <c r="M3" s="81"/>
      <c r="N3" s="81"/>
      <c r="O3" s="29"/>
      <c r="P3" s="29"/>
      <c r="Q3" s="29"/>
      <c r="R3" s="29"/>
      <c r="S3" s="29"/>
      <c r="T3" s="29"/>
      <c r="U3" s="29"/>
      <c r="V3" s="29"/>
      <c r="W3" s="82" t="s">
        <v>588</v>
      </c>
      <c r="X3" s="29"/>
      <c r="Y3" s="29"/>
      <c r="Z3" s="29"/>
      <c r="AA3" s="29"/>
      <c r="AB3" s="29"/>
      <c r="AC3" s="29"/>
      <c r="AD3" s="29"/>
    </row>
    <row r="4" spans="1:30" x14ac:dyDescent="0.2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696" t="str">
        <f>Accueil!I6</f>
        <v>Version 1.06</v>
      </c>
      <c r="AC4" s="696"/>
      <c r="AD4" s="265"/>
    </row>
    <row r="5" spans="1:30" x14ac:dyDescent="0.2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row>
    <row r="7" spans="1:30" ht="15.75" thickBot="1" x14ac:dyDescent="0.3"/>
    <row r="8" spans="1:30" x14ac:dyDescent="0.25">
      <c r="B8" s="18"/>
      <c r="C8" s="19"/>
      <c r="D8" s="19"/>
      <c r="E8" s="19"/>
      <c r="F8" s="19"/>
      <c r="G8" s="19"/>
      <c r="H8" s="19"/>
      <c r="I8" s="19"/>
      <c r="J8" s="19"/>
      <c r="K8" s="19"/>
      <c r="L8" s="19"/>
      <c r="M8" s="19"/>
      <c r="N8" s="19"/>
      <c r="O8" s="19"/>
      <c r="P8" s="19"/>
      <c r="Q8" s="19"/>
      <c r="R8" s="19"/>
      <c r="S8" s="19"/>
      <c r="T8" s="19"/>
      <c r="U8" s="19"/>
      <c r="V8" s="19"/>
      <c r="W8" s="19"/>
      <c r="X8" s="19"/>
      <c r="Y8" s="20"/>
    </row>
    <row r="9" spans="1:30" x14ac:dyDescent="0.25">
      <c r="B9" s="21"/>
      <c r="C9" s="6"/>
      <c r="D9" s="6"/>
      <c r="E9" s="6"/>
      <c r="F9" s="6"/>
      <c r="G9" s="6"/>
      <c r="H9" s="6"/>
      <c r="I9" s="6"/>
      <c r="J9" s="6"/>
      <c r="K9" s="6"/>
      <c r="L9" s="6"/>
      <c r="M9" s="6"/>
      <c r="N9" s="6"/>
      <c r="O9" s="6"/>
      <c r="P9" s="741"/>
      <c r="Q9" s="741"/>
      <c r="R9" s="6"/>
      <c r="S9" s="6"/>
      <c r="T9" s="6"/>
      <c r="U9" s="6"/>
      <c r="V9" s="6"/>
      <c r="W9" s="6"/>
      <c r="X9" s="6"/>
      <c r="Y9" s="22"/>
    </row>
    <row r="10" spans="1:30" x14ac:dyDescent="0.25">
      <c r="B10" s="21"/>
      <c r="C10" s="6"/>
      <c r="D10" s="6"/>
      <c r="E10" s="6"/>
      <c r="F10" s="6"/>
      <c r="G10" s="6"/>
      <c r="H10" s="6"/>
      <c r="I10" s="6"/>
      <c r="J10" s="6"/>
      <c r="K10" s="6"/>
      <c r="L10" s="6"/>
      <c r="M10" s="6"/>
      <c r="N10" s="6"/>
      <c r="O10" s="6"/>
      <c r="R10" s="6"/>
      <c r="S10" s="956">
        <f>IF(L11="Oui",0,1)</f>
        <v>1</v>
      </c>
      <c r="T10" s="956"/>
      <c r="U10" s="70"/>
      <c r="V10" s="6"/>
      <c r="W10" s="6"/>
      <c r="X10" s="6"/>
      <c r="Y10" s="22"/>
    </row>
    <row r="11" spans="1:30" x14ac:dyDescent="0.25">
      <c r="B11" s="21"/>
      <c r="C11" s="6"/>
      <c r="D11" s="51" t="s">
        <v>2625</v>
      </c>
      <c r="E11" s="51"/>
      <c r="F11" s="51"/>
      <c r="G11" s="51"/>
      <c r="H11" s="51"/>
      <c r="I11" s="51"/>
      <c r="J11" s="51"/>
      <c r="K11" s="47"/>
      <c r="L11" s="794"/>
      <c r="M11" s="959"/>
      <c r="N11" s="795"/>
      <c r="O11" s="6"/>
      <c r="R11" s="6"/>
      <c r="S11" s="958" t="str">
        <f>IF(cCMR1=0,"INVALIDATION DE L'AUDIT","")</f>
        <v/>
      </c>
      <c r="T11" s="958"/>
      <c r="U11" s="958"/>
      <c r="V11" s="958"/>
      <c r="W11" s="6"/>
      <c r="X11" s="6"/>
      <c r="Y11" s="22"/>
    </row>
    <row r="12" spans="1:30" x14ac:dyDescent="0.25">
      <c r="B12" s="21"/>
      <c r="C12" s="6"/>
      <c r="D12" s="6"/>
      <c r="E12" s="6"/>
      <c r="F12" s="6"/>
      <c r="G12" s="6"/>
      <c r="H12" s="6"/>
      <c r="I12" s="6"/>
      <c r="J12" s="6"/>
      <c r="K12" s="6"/>
      <c r="L12" s="6"/>
      <c r="M12" s="6"/>
      <c r="N12" s="6"/>
      <c r="O12" s="6"/>
      <c r="P12" s="6"/>
      <c r="Q12" s="6"/>
      <c r="R12" s="6"/>
      <c r="S12" s="6"/>
      <c r="T12" s="6"/>
      <c r="U12" s="6"/>
      <c r="V12" s="6"/>
      <c r="W12" s="6"/>
      <c r="X12" s="6"/>
      <c r="Y12" s="22"/>
    </row>
    <row r="13" spans="1:30" x14ac:dyDescent="0.25">
      <c r="B13" s="21"/>
      <c r="C13" s="6"/>
      <c r="D13" s="46" t="s">
        <v>303</v>
      </c>
      <c r="E13" s="6"/>
      <c r="F13" s="6"/>
      <c r="G13" s="6"/>
      <c r="H13" s="6"/>
      <c r="I13" s="6"/>
      <c r="J13" s="6"/>
      <c r="K13" s="6"/>
      <c r="L13" s="6"/>
      <c r="M13" s="6"/>
      <c r="N13" s="6"/>
      <c r="O13" s="6"/>
      <c r="P13" s="6"/>
      <c r="Q13" s="6"/>
      <c r="R13" s="6"/>
      <c r="S13" s="6"/>
      <c r="T13" s="6"/>
      <c r="U13" s="6"/>
      <c r="V13" s="6"/>
      <c r="W13" s="6"/>
      <c r="X13" s="6"/>
      <c r="Y13" s="22"/>
    </row>
    <row r="14" spans="1:30" x14ac:dyDescent="0.25">
      <c r="B14" s="21"/>
      <c r="C14" s="6"/>
      <c r="D14" s="947"/>
      <c r="E14" s="948"/>
      <c r="F14" s="948"/>
      <c r="G14" s="948"/>
      <c r="H14" s="948"/>
      <c r="I14" s="948"/>
      <c r="J14" s="948"/>
      <c r="K14" s="948"/>
      <c r="L14" s="948"/>
      <c r="M14" s="948"/>
      <c r="N14" s="948"/>
      <c r="O14" s="948"/>
      <c r="P14" s="948"/>
      <c r="Q14" s="948"/>
      <c r="R14" s="948"/>
      <c r="S14" s="948"/>
      <c r="T14" s="948"/>
      <c r="U14" s="948"/>
      <c r="V14" s="949"/>
      <c r="W14" s="6"/>
      <c r="X14" s="6"/>
      <c r="Y14" s="22"/>
    </row>
    <row r="15" spans="1:30" x14ac:dyDescent="0.25">
      <c r="B15" s="21"/>
      <c r="C15" s="6"/>
      <c r="D15" s="950"/>
      <c r="E15" s="951"/>
      <c r="F15" s="951"/>
      <c r="G15" s="951"/>
      <c r="H15" s="951"/>
      <c r="I15" s="951"/>
      <c r="J15" s="951"/>
      <c r="K15" s="951"/>
      <c r="L15" s="951"/>
      <c r="M15" s="951"/>
      <c r="N15" s="951"/>
      <c r="O15" s="951"/>
      <c r="P15" s="951"/>
      <c r="Q15" s="951"/>
      <c r="R15" s="951"/>
      <c r="S15" s="951"/>
      <c r="T15" s="951"/>
      <c r="U15" s="951"/>
      <c r="V15" s="952"/>
      <c r="W15" s="6"/>
      <c r="X15" s="6"/>
      <c r="Y15" s="22"/>
    </row>
    <row r="16" spans="1:30" x14ac:dyDescent="0.25">
      <c r="B16" s="21"/>
      <c r="C16" s="6"/>
      <c r="D16" s="950"/>
      <c r="E16" s="951"/>
      <c r="F16" s="951"/>
      <c r="G16" s="951"/>
      <c r="H16" s="951"/>
      <c r="I16" s="951"/>
      <c r="J16" s="951"/>
      <c r="K16" s="951"/>
      <c r="L16" s="951"/>
      <c r="M16" s="951"/>
      <c r="N16" s="951"/>
      <c r="O16" s="951"/>
      <c r="P16" s="951"/>
      <c r="Q16" s="951"/>
      <c r="R16" s="951"/>
      <c r="S16" s="951"/>
      <c r="T16" s="951"/>
      <c r="U16" s="951"/>
      <c r="V16" s="952"/>
      <c r="W16" s="6"/>
      <c r="X16" s="6"/>
      <c r="Y16" s="22"/>
    </row>
    <row r="17" spans="2:25" x14ac:dyDescent="0.25">
      <c r="B17" s="21"/>
      <c r="C17" s="6"/>
      <c r="D17" s="950"/>
      <c r="E17" s="951"/>
      <c r="F17" s="951"/>
      <c r="G17" s="951"/>
      <c r="H17" s="951"/>
      <c r="I17" s="951"/>
      <c r="J17" s="951"/>
      <c r="K17" s="951"/>
      <c r="L17" s="951"/>
      <c r="M17" s="951"/>
      <c r="N17" s="951"/>
      <c r="O17" s="951"/>
      <c r="P17" s="951"/>
      <c r="Q17" s="951"/>
      <c r="R17" s="951"/>
      <c r="S17" s="951"/>
      <c r="T17" s="951"/>
      <c r="U17" s="951"/>
      <c r="V17" s="952"/>
      <c r="W17" s="6"/>
      <c r="X17" s="6"/>
      <c r="Y17" s="22"/>
    </row>
    <row r="18" spans="2:25" x14ac:dyDescent="0.25">
      <c r="B18" s="21"/>
      <c r="C18" s="6"/>
      <c r="D18" s="953"/>
      <c r="E18" s="954"/>
      <c r="F18" s="954"/>
      <c r="G18" s="954"/>
      <c r="H18" s="954"/>
      <c r="I18" s="954"/>
      <c r="J18" s="954"/>
      <c r="K18" s="954"/>
      <c r="L18" s="954"/>
      <c r="M18" s="954"/>
      <c r="N18" s="954"/>
      <c r="O18" s="954"/>
      <c r="P18" s="954"/>
      <c r="Q18" s="954"/>
      <c r="R18" s="954"/>
      <c r="S18" s="954"/>
      <c r="T18" s="954"/>
      <c r="U18" s="954"/>
      <c r="V18" s="955"/>
      <c r="W18" s="6"/>
      <c r="X18" s="6"/>
      <c r="Y18" s="22"/>
    </row>
    <row r="19" spans="2:25" x14ac:dyDescent="0.25">
      <c r="B19" s="21"/>
      <c r="C19" s="6"/>
      <c r="D19" s="112"/>
      <c r="E19" s="112"/>
      <c r="F19" s="112"/>
      <c r="G19" s="112"/>
      <c r="H19" s="112"/>
      <c r="I19" s="112"/>
      <c r="J19" s="112"/>
      <c r="K19" s="112"/>
      <c r="L19" s="112"/>
      <c r="M19" s="112"/>
      <c r="N19" s="112"/>
      <c r="O19" s="112"/>
      <c r="P19" s="112"/>
      <c r="Q19" s="112"/>
      <c r="R19" s="112"/>
      <c r="S19" s="112"/>
      <c r="T19" s="112"/>
      <c r="U19" s="112"/>
      <c r="V19" s="112"/>
      <c r="W19" s="6"/>
      <c r="X19" s="6"/>
      <c r="Y19" s="22"/>
    </row>
    <row r="20" spans="2:25" x14ac:dyDescent="0.25">
      <c r="B20" s="21"/>
      <c r="C20" s="6"/>
      <c r="D20" s="112"/>
      <c r="E20" s="112"/>
      <c r="F20" s="112"/>
      <c r="G20" s="112"/>
      <c r="H20" s="112"/>
      <c r="I20" s="112"/>
      <c r="J20" s="112"/>
      <c r="K20" s="112"/>
      <c r="L20" s="112"/>
      <c r="M20" s="112"/>
      <c r="N20" s="112"/>
      <c r="O20" s="112"/>
      <c r="P20" s="741" t="s">
        <v>245</v>
      </c>
      <c r="Q20" s="741"/>
      <c r="R20" s="112"/>
      <c r="S20" s="112"/>
      <c r="T20" s="112"/>
      <c r="U20" s="112"/>
      <c r="V20" s="112"/>
      <c r="W20" s="6"/>
      <c r="X20" s="6"/>
      <c r="Y20" s="22"/>
    </row>
    <row r="21" spans="2:25" s="499" customFormat="1" x14ac:dyDescent="0.25">
      <c r="B21" s="21"/>
      <c r="C21" s="6"/>
      <c r="D21" s="112"/>
      <c r="E21" s="112"/>
      <c r="F21" s="112"/>
      <c r="G21" s="112"/>
      <c r="H21" s="112"/>
      <c r="I21" s="112"/>
      <c r="J21" s="112"/>
      <c r="K21" s="112"/>
      <c r="L21" s="112"/>
      <c r="M21" s="112"/>
      <c r="N21" s="112"/>
      <c r="O21" s="112"/>
      <c r="P21" s="563"/>
      <c r="Q21" s="563"/>
      <c r="R21" s="112"/>
      <c r="S21" s="112"/>
      <c r="T21" s="112"/>
      <c r="U21" s="112"/>
      <c r="V21" s="112"/>
      <c r="W21" s="6"/>
      <c r="X21" s="6"/>
      <c r="Y21" s="22"/>
    </row>
    <row r="22" spans="2:25" x14ac:dyDescent="0.25">
      <c r="B22" s="21"/>
      <c r="C22" s="6"/>
      <c r="D22" s="496" t="s">
        <v>2633</v>
      </c>
      <c r="E22" s="86"/>
      <c r="F22" s="86"/>
      <c r="G22" s="86"/>
      <c r="H22" s="86"/>
      <c r="I22" s="86"/>
      <c r="J22" s="86"/>
      <c r="K22" s="86"/>
      <c r="L22" s="119"/>
      <c r="M22" s="957"/>
      <c r="N22" s="957"/>
      <c r="P22" s="936">
        <f>IF(M22="",0,IF(OR(M22="Oui",cCMR1=0),0,1))</f>
        <v>0</v>
      </c>
      <c r="Q22" s="937"/>
      <c r="R22" s="6"/>
      <c r="S22" s="6"/>
      <c r="T22" s="6"/>
      <c r="U22" s="6"/>
      <c r="V22" s="6"/>
      <c r="Y22" s="22"/>
    </row>
    <row r="23" spans="2:25" x14ac:dyDescent="0.25">
      <c r="B23" s="21"/>
      <c r="C23" s="6"/>
      <c r="D23" s="497" t="s">
        <v>2634</v>
      </c>
      <c r="E23" s="87"/>
      <c r="F23" s="87"/>
      <c r="G23" s="87"/>
      <c r="H23" s="87"/>
      <c r="I23" s="87"/>
      <c r="J23" s="87"/>
      <c r="K23" s="87"/>
      <c r="L23" s="120"/>
      <c r="M23" s="957"/>
      <c r="N23" s="957"/>
      <c r="P23" s="936">
        <f>IF(M23="",0,IF(OR(M23="Oui",cCMR1=0),0,1))</f>
        <v>0</v>
      </c>
      <c r="Q23" s="937"/>
      <c r="R23" s="6"/>
      <c r="S23" s="6"/>
      <c r="T23" s="6"/>
      <c r="U23" s="6"/>
      <c r="V23" s="6"/>
      <c r="Y23" s="22"/>
    </row>
    <row r="24" spans="2:25" x14ac:dyDescent="0.25">
      <c r="B24" s="21"/>
      <c r="C24" s="6"/>
      <c r="D24" s="6"/>
      <c r="E24" s="6"/>
      <c r="F24" s="6"/>
      <c r="G24" s="6"/>
      <c r="H24" s="6"/>
      <c r="I24" s="6"/>
      <c r="J24" s="6"/>
      <c r="K24" s="6"/>
      <c r="L24" s="6"/>
      <c r="M24" s="6"/>
      <c r="N24" s="6"/>
      <c r="O24" s="6"/>
      <c r="P24" s="6"/>
      <c r="Q24" s="6"/>
      <c r="R24" s="6"/>
      <c r="S24" s="6"/>
      <c r="T24" s="6"/>
      <c r="U24" s="6"/>
      <c r="V24" s="6"/>
      <c r="W24" s="770" t="s">
        <v>723</v>
      </c>
      <c r="X24" s="770"/>
      <c r="Y24" s="22"/>
    </row>
    <row r="25" spans="2:25" x14ac:dyDescent="0.25">
      <c r="B25" s="21"/>
      <c r="C25" s="6"/>
      <c r="D25" s="86" t="s">
        <v>2362</v>
      </c>
      <c r="E25" s="86"/>
      <c r="F25" s="86"/>
      <c r="G25" s="86"/>
      <c r="H25" s="86"/>
      <c r="I25" s="86"/>
      <c r="J25" s="86"/>
      <c r="K25" s="86"/>
      <c r="L25" s="86"/>
      <c r="M25" s="86"/>
      <c r="N25" s="86"/>
      <c r="O25" s="119"/>
      <c r="P25" s="936">
        <f>SUM(P22:Q23)</f>
        <v>0</v>
      </c>
      <c r="Q25" s="937"/>
      <c r="R25" s="6"/>
      <c r="S25" s="6"/>
      <c r="T25" s="6"/>
      <c r="U25" s="6"/>
      <c r="V25" s="6"/>
      <c r="W25" s="890">
        <v>2</v>
      </c>
      <c r="X25" s="891"/>
      <c r="Y25" s="22"/>
    </row>
    <row r="26" spans="2:25" x14ac:dyDescent="0.25">
      <c r="B26" s="21"/>
      <c r="C26" s="6"/>
      <c r="D26" s="6"/>
      <c r="E26" s="6"/>
      <c r="F26" s="6"/>
      <c r="G26" s="6"/>
      <c r="H26" s="6"/>
      <c r="I26" s="6"/>
      <c r="J26" s="6"/>
      <c r="K26" s="6"/>
      <c r="L26" s="6"/>
      <c r="M26" s="6"/>
      <c r="N26" s="6"/>
      <c r="O26" s="6"/>
      <c r="P26" s="6"/>
      <c r="Q26" s="6"/>
      <c r="R26" s="6"/>
      <c r="S26" s="6"/>
      <c r="T26" s="6"/>
      <c r="U26" s="6"/>
      <c r="V26" s="6"/>
      <c r="Y26" s="22"/>
    </row>
    <row r="27" spans="2:25" ht="15.75" thickBot="1" x14ac:dyDescent="0.3">
      <c r="B27" s="24"/>
      <c r="C27" s="25"/>
      <c r="D27" s="25"/>
      <c r="E27" s="25"/>
      <c r="F27" s="25"/>
      <c r="G27" s="25"/>
      <c r="H27" s="25"/>
      <c r="I27" s="25"/>
      <c r="J27" s="25"/>
      <c r="K27" s="25"/>
      <c r="L27" s="25"/>
      <c r="M27" s="25"/>
      <c r="N27" s="25"/>
      <c r="O27" s="25"/>
      <c r="P27" s="25"/>
      <c r="Q27" s="25"/>
      <c r="R27" s="25"/>
      <c r="S27" s="25"/>
      <c r="T27" s="25"/>
      <c r="U27" s="25"/>
      <c r="V27" s="25"/>
      <c r="W27" s="25"/>
      <c r="X27" s="25"/>
      <c r="Y27" s="26"/>
    </row>
    <row r="30" spans="2:25" ht="15.75" thickBot="1" x14ac:dyDescent="0.3"/>
    <row r="31" spans="2:25" x14ac:dyDescent="0.25">
      <c r="B31" s="18"/>
      <c r="C31" s="19"/>
      <c r="D31" s="19"/>
      <c r="E31" s="19"/>
      <c r="F31" s="19"/>
      <c r="G31" s="19"/>
      <c r="H31" s="19"/>
      <c r="I31" s="19"/>
      <c r="J31" s="19"/>
      <c r="K31" s="19"/>
      <c r="L31" s="19"/>
      <c r="M31" s="19"/>
      <c r="N31" s="19"/>
      <c r="O31" s="19"/>
      <c r="P31" s="19"/>
      <c r="Q31" s="19"/>
      <c r="R31" s="19"/>
      <c r="S31" s="19"/>
      <c r="T31" s="19"/>
      <c r="U31" s="19"/>
      <c r="V31" s="19"/>
      <c r="W31" s="19"/>
      <c r="X31" s="19"/>
      <c r="Y31" s="20"/>
    </row>
    <row r="32" spans="2:25" x14ac:dyDescent="0.25">
      <c r="B32" s="21"/>
      <c r="C32" s="6"/>
      <c r="D32" s="6"/>
      <c r="E32" s="6"/>
      <c r="F32" s="6"/>
      <c r="G32" s="6"/>
      <c r="H32" s="6"/>
      <c r="I32" s="6"/>
      <c r="J32" s="6"/>
      <c r="M32" s="742"/>
      <c r="N32" s="742"/>
      <c r="O32" s="6"/>
      <c r="P32" s="6"/>
      <c r="Q32" s="6"/>
      <c r="R32" s="6"/>
      <c r="S32" s="6"/>
      <c r="T32" s="6"/>
      <c r="U32" s="6"/>
      <c r="V32" s="6"/>
      <c r="W32" s="6"/>
      <c r="X32" s="6"/>
      <c r="Y32" s="22"/>
    </row>
    <row r="33" spans="2:25" s="499" customFormat="1" x14ac:dyDescent="0.25">
      <c r="B33" s="21"/>
      <c r="C33" s="960" t="s">
        <v>2430</v>
      </c>
      <c r="D33" s="960"/>
      <c r="E33" s="960"/>
      <c r="F33" s="960"/>
      <c r="G33" s="960"/>
      <c r="H33" s="960"/>
      <c r="I33" s="960"/>
      <c r="J33" s="960"/>
      <c r="K33" s="960"/>
      <c r="L33" s="960"/>
      <c r="M33" s="960"/>
      <c r="N33" s="960"/>
      <c r="O33" s="960"/>
      <c r="P33" s="960"/>
      <c r="Q33" s="960"/>
      <c r="R33" s="6"/>
      <c r="S33" s="6"/>
      <c r="T33" s="6"/>
      <c r="U33" s="6"/>
      <c r="V33" s="6"/>
      <c r="W33" s="6"/>
      <c r="X33" s="6"/>
      <c r="Y33" s="22"/>
    </row>
    <row r="34" spans="2:25" s="499" customFormat="1" x14ac:dyDescent="0.25">
      <c r="B34" s="21"/>
      <c r="C34" s="960"/>
      <c r="D34" s="960"/>
      <c r="E34" s="960"/>
      <c r="F34" s="960"/>
      <c r="G34" s="960"/>
      <c r="H34" s="960"/>
      <c r="I34" s="960"/>
      <c r="J34" s="960"/>
      <c r="K34" s="960"/>
      <c r="L34" s="960"/>
      <c r="M34" s="960"/>
      <c r="N34" s="960"/>
      <c r="O34" s="960"/>
      <c r="P34" s="960"/>
      <c r="Q34" s="960"/>
      <c r="R34" s="6"/>
      <c r="S34" s="6"/>
      <c r="T34" s="6"/>
      <c r="U34" s="6"/>
      <c r="V34" s="6"/>
      <c r="W34" s="6"/>
      <c r="X34" s="6"/>
      <c r="Y34" s="22"/>
    </row>
    <row r="35" spans="2:25" s="499" customFormat="1" x14ac:dyDescent="0.25">
      <c r="B35" s="21"/>
      <c r="C35" s="564"/>
      <c r="D35" s="564"/>
      <c r="E35" s="564"/>
      <c r="F35" s="564"/>
      <c r="G35" s="564"/>
      <c r="H35" s="564"/>
      <c r="I35" s="564"/>
      <c r="J35" s="564"/>
      <c r="K35" s="564"/>
      <c r="L35" s="564"/>
      <c r="M35" s="564"/>
      <c r="N35" s="564"/>
      <c r="O35" s="564"/>
      <c r="P35" s="564"/>
      <c r="Q35" s="564"/>
      <c r="R35" s="6"/>
      <c r="S35" s="6"/>
      <c r="T35" s="6"/>
      <c r="U35" s="6"/>
      <c r="V35" s="6"/>
      <c r="W35" s="6"/>
      <c r="X35" s="6"/>
      <c r="Y35" s="22"/>
    </row>
    <row r="36" spans="2:25" s="499" customFormat="1" x14ac:dyDescent="0.25">
      <c r="B36" s="21"/>
      <c r="C36" s="6"/>
      <c r="D36" s="6"/>
      <c r="E36" s="6"/>
      <c r="F36" s="6"/>
      <c r="G36" s="6"/>
      <c r="H36" s="6"/>
      <c r="I36" s="6"/>
      <c r="J36" s="6"/>
      <c r="M36" s="884" t="s">
        <v>2533</v>
      </c>
      <c r="N36" s="884"/>
      <c r="O36" s="6"/>
      <c r="P36" s="6"/>
      <c r="Q36" s="6"/>
      <c r="R36" s="6"/>
      <c r="S36" s="6"/>
      <c r="T36" s="6"/>
      <c r="U36" s="6"/>
      <c r="V36" s="6"/>
      <c r="W36" s="6"/>
      <c r="X36" s="6"/>
      <c r="Y36" s="22"/>
    </row>
    <row r="37" spans="2:25" x14ac:dyDescent="0.25">
      <c r="B37" s="21"/>
      <c r="C37" s="203" t="s">
        <v>2581</v>
      </c>
      <c r="D37" s="203"/>
      <c r="E37" s="203"/>
      <c r="F37" s="203"/>
      <c r="G37" s="203"/>
      <c r="H37" s="203"/>
      <c r="I37" s="203"/>
      <c r="J37" s="51"/>
      <c r="K37" s="51"/>
      <c r="L37" s="47"/>
      <c r="M37" s="773"/>
      <c r="N37" s="774"/>
      <c r="O37" s="6"/>
      <c r="P37" s="6"/>
      <c r="Q37" s="6"/>
      <c r="R37" s="6"/>
      <c r="S37" s="6"/>
      <c r="T37" s="6"/>
      <c r="U37" s="6"/>
      <c r="V37" s="6"/>
      <c r="W37" s="6"/>
      <c r="X37" s="6"/>
      <c r="Y37" s="22"/>
    </row>
    <row r="38" spans="2:25" x14ac:dyDescent="0.25">
      <c r="B38" s="21"/>
      <c r="C38" s="819" t="s">
        <v>726</v>
      </c>
      <c r="D38" s="819"/>
      <c r="E38" s="819"/>
      <c r="F38" s="819"/>
      <c r="G38" s="819"/>
      <c r="H38" s="819"/>
      <c r="I38" s="819"/>
      <c r="J38" s="51"/>
      <c r="K38" s="52"/>
      <c r="L38" s="48"/>
      <c r="M38" s="773"/>
      <c r="N38" s="774"/>
      <c r="O38" s="6"/>
      <c r="P38" s="240" t="str">
        <f>IF(M38&gt;(Surfaces!O120+Surfaces!O121+Surfaces!O122),"Attention : surface saisie &gt; surface en prairies permanentes","")</f>
        <v/>
      </c>
      <c r="Q38" s="6"/>
      <c r="R38" s="6"/>
      <c r="S38" s="6"/>
      <c r="T38" s="6"/>
      <c r="U38" s="6"/>
      <c r="V38" s="6"/>
      <c r="W38" s="6"/>
      <c r="X38" s="115"/>
      <c r="Y38" s="116"/>
    </row>
    <row r="39" spans="2:25" x14ac:dyDescent="0.25">
      <c r="B39" s="21"/>
      <c r="C39" s="819" t="s">
        <v>2580</v>
      </c>
      <c r="D39" s="819"/>
      <c r="E39" s="819"/>
      <c r="F39" s="819"/>
      <c r="G39" s="819"/>
      <c r="H39" s="819"/>
      <c r="I39" s="819"/>
      <c r="J39" s="51"/>
      <c r="K39" s="52"/>
      <c r="L39" s="48"/>
      <c r="M39" s="773"/>
      <c r="N39" s="774"/>
      <c r="O39" s="6"/>
      <c r="P39" s="6" t="str">
        <f>IF(M39&gt;(Surfaces!O24-(Surfaces!O120+Surfaces!O121+Surfaces!O122)),"Attention : surface saisie &gt; SAU hors prairies permanentes","")</f>
        <v/>
      </c>
      <c r="Q39" s="6"/>
      <c r="R39" s="6"/>
      <c r="S39" s="6"/>
      <c r="T39" s="6"/>
      <c r="U39" s="6"/>
      <c r="V39" s="6"/>
      <c r="W39" s="6"/>
      <c r="X39" s="115"/>
      <c r="Y39" s="116"/>
    </row>
    <row r="40" spans="2:25" x14ac:dyDescent="0.25">
      <c r="B40" s="21"/>
      <c r="C40" s="6"/>
      <c r="D40" s="6"/>
      <c r="E40" s="6"/>
      <c r="F40" s="6"/>
      <c r="G40" s="6"/>
      <c r="H40" s="6"/>
      <c r="I40" s="6"/>
      <c r="J40" s="6"/>
      <c r="K40" s="6"/>
      <c r="L40" s="6"/>
      <c r="M40" s="6"/>
      <c r="N40" s="6"/>
      <c r="O40" s="6"/>
      <c r="P40" s="6"/>
      <c r="Q40" s="6"/>
      <c r="R40" s="6"/>
      <c r="S40" s="6"/>
      <c r="T40" s="6"/>
      <c r="U40" s="6"/>
      <c r="V40" s="6"/>
      <c r="W40" s="6"/>
      <c r="X40" s="115"/>
      <c r="Y40" s="116"/>
    </row>
    <row r="41" spans="2:25" ht="15" customHeight="1" x14ac:dyDescent="0.25">
      <c r="B41" s="21"/>
      <c r="C41" s="934" t="s">
        <v>2582</v>
      </c>
      <c r="D41" s="934"/>
      <c r="E41" s="934"/>
      <c r="F41" s="934"/>
      <c r="G41" s="934"/>
      <c r="H41" s="934"/>
      <c r="I41" s="934"/>
      <c r="J41" s="934"/>
      <c r="K41" s="934"/>
      <c r="L41" s="934"/>
      <c r="M41" s="934"/>
      <c r="N41" s="934"/>
      <c r="O41" s="934"/>
      <c r="P41" s="934"/>
      <c r="Q41" s="934"/>
      <c r="R41" s="934"/>
      <c r="S41" s="934"/>
      <c r="T41" s="934"/>
      <c r="U41" s="934"/>
      <c r="V41" s="6"/>
      <c r="W41" s="6"/>
      <c r="X41" s="115"/>
      <c r="Y41" s="116"/>
    </row>
    <row r="42" spans="2:25" x14ac:dyDescent="0.25">
      <c r="B42" s="21"/>
      <c r="C42" s="934"/>
      <c r="D42" s="934"/>
      <c r="E42" s="934"/>
      <c r="F42" s="934"/>
      <c r="G42" s="934"/>
      <c r="H42" s="934"/>
      <c r="I42" s="934"/>
      <c r="J42" s="934"/>
      <c r="K42" s="934"/>
      <c r="L42" s="934"/>
      <c r="M42" s="934"/>
      <c r="N42" s="934"/>
      <c r="O42" s="934"/>
      <c r="P42" s="934"/>
      <c r="Q42" s="934"/>
      <c r="R42" s="934"/>
      <c r="S42" s="934"/>
      <c r="T42" s="934"/>
      <c r="U42" s="934"/>
      <c r="V42" s="6"/>
      <c r="W42" s="6"/>
      <c r="X42" s="115"/>
      <c r="Y42" s="116"/>
    </row>
    <row r="43" spans="2:25" x14ac:dyDescent="0.25">
      <c r="B43" s="21"/>
      <c r="C43" s="6"/>
      <c r="D43" s="6"/>
      <c r="E43" s="6"/>
      <c r="F43" s="6"/>
      <c r="G43" s="6"/>
      <c r="H43" s="6"/>
      <c r="I43" s="6"/>
      <c r="J43" s="6"/>
      <c r="K43" s="6"/>
      <c r="L43" s="6"/>
      <c r="M43" s="6"/>
      <c r="N43" s="6"/>
      <c r="O43" s="6"/>
      <c r="P43" s="6"/>
      <c r="Q43" s="6"/>
      <c r="R43" s="6"/>
      <c r="S43" s="6"/>
      <c r="T43" s="6"/>
      <c r="U43" s="6"/>
      <c r="V43" s="6"/>
      <c r="W43" s="6"/>
      <c r="X43" s="115"/>
      <c r="Y43" s="116"/>
    </row>
    <row r="44" spans="2:25" x14ac:dyDescent="0.25">
      <c r="B44" s="21"/>
      <c r="C44" s="46"/>
      <c r="D44" s="6"/>
      <c r="E44" s="6"/>
      <c r="F44" s="6"/>
      <c r="G44" s="6"/>
      <c r="H44" s="6"/>
      <c r="I44" s="6"/>
      <c r="J44" s="6"/>
      <c r="K44" s="6"/>
      <c r="L44" s="6"/>
      <c r="M44" s="6"/>
      <c r="N44" s="6"/>
      <c r="O44" s="6"/>
      <c r="P44" s="6"/>
      <c r="Q44" s="6"/>
      <c r="R44" s="6"/>
      <c r="S44" s="6"/>
      <c r="T44" s="6"/>
      <c r="U44" s="6"/>
      <c r="V44" s="6"/>
      <c r="W44" s="6"/>
      <c r="X44" s="115"/>
      <c r="Y44" s="116"/>
    </row>
    <row r="45" spans="2:25" x14ac:dyDescent="0.25">
      <c r="B45" s="21"/>
      <c r="C45" s="6"/>
      <c r="D45" s="6"/>
      <c r="E45" s="6"/>
      <c r="F45" s="6"/>
      <c r="L45" s="6"/>
      <c r="M45" s="6"/>
      <c r="N45" s="6"/>
      <c r="O45" s="6"/>
      <c r="P45" s="741" t="s">
        <v>245</v>
      </c>
      <c r="Q45" s="741"/>
      <c r="R45" s="6"/>
      <c r="S45" s="6"/>
      <c r="T45" s="6"/>
      <c r="U45" s="6"/>
      <c r="V45" s="6"/>
      <c r="W45" s="6"/>
      <c r="X45" s="115"/>
      <c r="Y45" s="116"/>
    </row>
    <row r="46" spans="2:25" x14ac:dyDescent="0.25">
      <c r="B46" s="21"/>
      <c r="C46" s="6"/>
      <c r="D46" s="808" t="s">
        <v>304</v>
      </c>
      <c r="E46" s="808"/>
      <c r="F46" s="808"/>
      <c r="G46" s="808"/>
      <c r="H46" s="808"/>
      <c r="I46" s="808"/>
      <c r="J46" s="808"/>
      <c r="K46" s="808"/>
      <c r="L46" s="809"/>
      <c r="M46" s="823">
        <f>Surfaces!O24</f>
        <v>10</v>
      </c>
      <c r="N46" s="776"/>
      <c r="O46" s="6"/>
      <c r="P46" s="6"/>
      <c r="Q46" s="111"/>
      <c r="R46" s="6"/>
      <c r="S46" s="6"/>
      <c r="T46" s="6"/>
      <c r="U46" s="6"/>
      <c r="V46" s="6"/>
      <c r="W46" s="6"/>
      <c r="X46" s="115"/>
      <c r="Y46" s="116"/>
    </row>
    <row r="47" spans="2:25" x14ac:dyDescent="0.25">
      <c r="B47" s="21"/>
      <c r="C47" s="6"/>
      <c r="D47" s="808" t="s">
        <v>589</v>
      </c>
      <c r="E47" s="808"/>
      <c r="F47" s="808"/>
      <c r="G47" s="808"/>
      <c r="H47" s="808"/>
      <c r="I47" s="808"/>
      <c r="J47" s="808"/>
      <c r="K47" s="808"/>
      <c r="L47" s="809"/>
      <c r="M47" s="823">
        <f>IFERROR(SUM(M37:N39),0)</f>
        <v>0</v>
      </c>
      <c r="N47" s="824"/>
      <c r="O47" s="6"/>
      <c r="P47" s="6"/>
      <c r="Q47" s="6"/>
      <c r="R47" s="6"/>
      <c r="S47" s="6"/>
      <c r="T47" s="6"/>
      <c r="U47" s="6"/>
      <c r="V47" s="6"/>
      <c r="W47" s="770" t="s">
        <v>723</v>
      </c>
      <c r="X47" s="770"/>
      <c r="Y47" s="22"/>
    </row>
    <row r="48" spans="2:25" x14ac:dyDescent="0.25">
      <c r="B48" s="21"/>
      <c r="C48" s="6"/>
      <c r="D48" s="808" t="s">
        <v>590</v>
      </c>
      <c r="E48" s="808"/>
      <c r="F48" s="808"/>
      <c r="G48" s="808"/>
      <c r="H48" s="808"/>
      <c r="I48" s="808"/>
      <c r="J48" s="808"/>
      <c r="K48" s="808"/>
      <c r="L48" s="809"/>
      <c r="M48" s="804">
        <f>IFERROR(M47/M46,0)</f>
        <v>0</v>
      </c>
      <c r="N48" s="825"/>
      <c r="O48" s="6"/>
      <c r="P48" s="936">
        <f>IF(cCMR1&gt;0,IF(cSAU=0,0,IFERROR(MIN(ROUNDUP(MAX(M48-5%,0)/10%,0),10),0)),0)</f>
        <v>0</v>
      </c>
      <c r="Q48" s="937"/>
      <c r="R48" s="6"/>
      <c r="S48" s="6"/>
      <c r="T48" s="6"/>
      <c r="U48" s="113"/>
      <c r="V48" s="114"/>
      <c r="W48" s="890">
        <v>10</v>
      </c>
      <c r="X48" s="891"/>
      <c r="Y48" s="22"/>
    </row>
    <row r="49" spans="2:25" x14ac:dyDescent="0.25">
      <c r="B49" s="21"/>
      <c r="C49" s="6"/>
      <c r="D49" s="6"/>
      <c r="E49" s="6"/>
      <c r="F49" s="6"/>
      <c r="G49" s="6"/>
      <c r="H49" s="6"/>
      <c r="I49" s="6"/>
      <c r="J49" s="6"/>
      <c r="K49" s="6"/>
      <c r="L49" s="6"/>
      <c r="M49" s="6"/>
      <c r="N49" s="6"/>
      <c r="O49" s="6"/>
      <c r="P49" s="6"/>
      <c r="Q49" s="6"/>
      <c r="R49" s="6"/>
      <c r="S49" s="6"/>
      <c r="T49" s="6"/>
      <c r="U49" s="6"/>
      <c r="V49" s="6"/>
      <c r="W49" s="6"/>
      <c r="X49" s="6"/>
      <c r="Y49" s="22"/>
    </row>
    <row r="50" spans="2:25" x14ac:dyDescent="0.25">
      <c r="B50" s="21"/>
      <c r="C50" s="6"/>
      <c r="D50" s="6"/>
      <c r="E50" s="6"/>
      <c r="F50" s="6"/>
      <c r="G50" s="6"/>
      <c r="H50" s="6"/>
      <c r="I50" s="6"/>
      <c r="J50" s="6"/>
      <c r="K50" s="6"/>
      <c r="L50" s="6"/>
      <c r="M50" s="6"/>
      <c r="N50" s="6"/>
      <c r="O50" s="6"/>
      <c r="P50" s="6"/>
      <c r="Q50" s="6"/>
      <c r="R50" s="6"/>
      <c r="S50" s="6"/>
      <c r="T50" s="6"/>
      <c r="U50" s="6"/>
      <c r="V50" s="6"/>
      <c r="W50" s="6"/>
      <c r="X50" s="6"/>
      <c r="Y50" s="22"/>
    </row>
    <row r="51" spans="2:25" x14ac:dyDescent="0.25">
      <c r="B51" s="21"/>
      <c r="C51" s="6"/>
      <c r="D51" s="102" t="s">
        <v>2532</v>
      </c>
      <c r="E51" s="6"/>
      <c r="F51" s="6"/>
      <c r="G51" s="6"/>
      <c r="H51" s="6"/>
      <c r="I51" s="6"/>
      <c r="J51" s="6"/>
      <c r="K51" s="6"/>
      <c r="L51" s="6"/>
      <c r="M51" s="6"/>
      <c r="N51" s="6"/>
      <c r="O51" s="6"/>
      <c r="P51" s="6"/>
      <c r="Q51" s="6"/>
      <c r="R51" s="6"/>
      <c r="S51" s="6"/>
      <c r="T51" s="6"/>
      <c r="U51" s="6"/>
      <c r="V51" s="6"/>
      <c r="W51" s="6"/>
      <c r="X51" s="6"/>
      <c r="Y51" s="22"/>
    </row>
    <row r="52" spans="2:25" x14ac:dyDescent="0.25">
      <c r="B52" s="21"/>
      <c r="C52" s="6"/>
      <c r="D52" s="757"/>
      <c r="E52" s="758"/>
      <c r="F52" s="758"/>
      <c r="G52" s="758"/>
      <c r="H52" s="758"/>
      <c r="I52" s="758"/>
      <c r="J52" s="758"/>
      <c r="K52" s="758"/>
      <c r="L52" s="758"/>
      <c r="M52" s="758"/>
      <c r="N52" s="758"/>
      <c r="O52" s="758"/>
      <c r="P52" s="758"/>
      <c r="Q52" s="758"/>
      <c r="R52" s="758"/>
      <c r="S52" s="758"/>
      <c r="T52" s="758"/>
      <c r="U52" s="758"/>
      <c r="V52" s="758"/>
      <c r="W52" s="758"/>
      <c r="X52" s="759"/>
      <c r="Y52" s="22"/>
    </row>
    <row r="53" spans="2:25" x14ac:dyDescent="0.25">
      <c r="B53" s="21"/>
      <c r="C53" s="6"/>
      <c r="D53" s="760"/>
      <c r="E53" s="761"/>
      <c r="F53" s="761"/>
      <c r="G53" s="761"/>
      <c r="H53" s="761"/>
      <c r="I53" s="761"/>
      <c r="J53" s="761"/>
      <c r="K53" s="761"/>
      <c r="L53" s="761"/>
      <c r="M53" s="761"/>
      <c r="N53" s="761"/>
      <c r="O53" s="761"/>
      <c r="P53" s="761"/>
      <c r="Q53" s="761"/>
      <c r="R53" s="761"/>
      <c r="S53" s="761"/>
      <c r="T53" s="761"/>
      <c r="U53" s="761"/>
      <c r="V53" s="761"/>
      <c r="W53" s="761"/>
      <c r="X53" s="762"/>
      <c r="Y53" s="22"/>
    </row>
    <row r="54" spans="2:25" x14ac:dyDescent="0.25">
      <c r="B54" s="21"/>
      <c r="C54" s="6"/>
      <c r="D54" s="760"/>
      <c r="E54" s="761"/>
      <c r="F54" s="761"/>
      <c r="G54" s="761"/>
      <c r="H54" s="761"/>
      <c r="I54" s="761"/>
      <c r="J54" s="761"/>
      <c r="K54" s="761"/>
      <c r="L54" s="761"/>
      <c r="M54" s="761"/>
      <c r="N54" s="761"/>
      <c r="O54" s="761"/>
      <c r="P54" s="761"/>
      <c r="Q54" s="761"/>
      <c r="R54" s="761"/>
      <c r="S54" s="761"/>
      <c r="T54" s="761"/>
      <c r="U54" s="761"/>
      <c r="V54" s="761"/>
      <c r="W54" s="761"/>
      <c r="X54" s="762"/>
      <c r="Y54" s="22"/>
    </row>
    <row r="55" spans="2:25" x14ac:dyDescent="0.25">
      <c r="B55" s="21"/>
      <c r="C55" s="6"/>
      <c r="D55" s="760"/>
      <c r="E55" s="761"/>
      <c r="F55" s="761"/>
      <c r="G55" s="761"/>
      <c r="H55" s="761"/>
      <c r="I55" s="761"/>
      <c r="J55" s="761"/>
      <c r="K55" s="761"/>
      <c r="L55" s="761"/>
      <c r="M55" s="761"/>
      <c r="N55" s="761"/>
      <c r="O55" s="761"/>
      <c r="P55" s="761"/>
      <c r="Q55" s="761"/>
      <c r="R55" s="761"/>
      <c r="S55" s="761"/>
      <c r="T55" s="761"/>
      <c r="U55" s="761"/>
      <c r="V55" s="761"/>
      <c r="W55" s="761"/>
      <c r="X55" s="762"/>
      <c r="Y55" s="22"/>
    </row>
    <row r="56" spans="2:25" x14ac:dyDescent="0.25">
      <c r="B56" s="21"/>
      <c r="C56" s="6"/>
      <c r="D56" s="763"/>
      <c r="E56" s="764"/>
      <c r="F56" s="764"/>
      <c r="G56" s="764"/>
      <c r="H56" s="764"/>
      <c r="I56" s="764"/>
      <c r="J56" s="764"/>
      <c r="K56" s="764"/>
      <c r="L56" s="764"/>
      <c r="M56" s="764"/>
      <c r="N56" s="764"/>
      <c r="O56" s="764"/>
      <c r="P56" s="764"/>
      <c r="Q56" s="764"/>
      <c r="R56" s="764"/>
      <c r="S56" s="764"/>
      <c r="T56" s="764"/>
      <c r="U56" s="764"/>
      <c r="V56" s="764"/>
      <c r="W56" s="764"/>
      <c r="X56" s="765"/>
      <c r="Y56" s="22"/>
    </row>
    <row r="57" spans="2:25" x14ac:dyDescent="0.25">
      <c r="B57" s="21"/>
      <c r="C57" s="6"/>
      <c r="D57" s="6"/>
      <c r="E57" s="6"/>
      <c r="F57" s="6"/>
      <c r="G57" s="6"/>
      <c r="H57" s="6"/>
      <c r="I57" s="6"/>
      <c r="J57" s="6"/>
      <c r="K57" s="6"/>
      <c r="L57" s="6"/>
      <c r="M57" s="6"/>
      <c r="N57" s="6"/>
      <c r="O57" s="6"/>
      <c r="P57" s="6"/>
      <c r="Q57" s="6"/>
      <c r="R57" s="6"/>
      <c r="S57" s="6"/>
      <c r="T57" s="6"/>
      <c r="U57" s="6"/>
      <c r="V57" s="6"/>
      <c r="W57" s="6"/>
      <c r="X57" s="6"/>
      <c r="Y57" s="22"/>
    </row>
    <row r="58" spans="2:25" ht="15.75" thickBot="1" x14ac:dyDescent="0.3">
      <c r="B58" s="24"/>
      <c r="C58" s="25"/>
      <c r="D58" s="25"/>
      <c r="E58" s="25"/>
      <c r="F58" s="25"/>
      <c r="G58" s="25"/>
      <c r="H58" s="25"/>
      <c r="I58" s="25"/>
      <c r="J58" s="25"/>
      <c r="K58" s="25"/>
      <c r="L58" s="25"/>
      <c r="M58" s="25"/>
      <c r="N58" s="25"/>
      <c r="O58" s="25"/>
      <c r="P58" s="25"/>
      <c r="Q58" s="25"/>
      <c r="R58" s="25"/>
      <c r="S58" s="25"/>
      <c r="T58" s="25"/>
      <c r="U58" s="25"/>
      <c r="V58" s="25"/>
      <c r="W58" s="25"/>
      <c r="X58" s="25"/>
      <c r="Y58" s="26"/>
    </row>
    <row r="61" spans="2:25" ht="15.75" thickBot="1" x14ac:dyDescent="0.3"/>
    <row r="62" spans="2:25" x14ac:dyDescent="0.25">
      <c r="B62" s="18"/>
      <c r="C62" s="19"/>
      <c r="D62" s="19"/>
      <c r="E62" s="19"/>
      <c r="F62" s="19"/>
      <c r="G62" s="19"/>
      <c r="H62" s="19"/>
      <c r="I62" s="19"/>
      <c r="J62" s="19"/>
      <c r="K62" s="19"/>
      <c r="L62" s="19"/>
      <c r="M62" s="19"/>
      <c r="N62" s="19"/>
      <c r="O62" s="19"/>
      <c r="P62" s="19"/>
      <c r="Q62" s="19"/>
      <c r="R62" s="19"/>
      <c r="S62" s="19"/>
      <c r="T62" s="19"/>
      <c r="U62" s="19"/>
      <c r="V62" s="19"/>
      <c r="W62" s="19"/>
      <c r="X62" s="19"/>
      <c r="Y62" s="20"/>
    </row>
    <row r="63" spans="2:25" x14ac:dyDescent="0.25">
      <c r="B63" s="21"/>
      <c r="C63" s="6"/>
      <c r="D63" s="6"/>
      <c r="E63" s="6"/>
      <c r="F63" s="6"/>
      <c r="G63" s="6"/>
      <c r="H63" s="6"/>
      <c r="I63" s="6"/>
      <c r="J63" s="6"/>
      <c r="K63" s="6"/>
      <c r="L63" s="6"/>
      <c r="M63" s="6"/>
      <c r="N63" s="6"/>
      <c r="O63" s="6"/>
      <c r="P63" s="6"/>
      <c r="Q63" s="6"/>
      <c r="R63" s="6"/>
      <c r="S63" s="6"/>
      <c r="T63" s="6"/>
      <c r="U63" s="6"/>
      <c r="V63" s="6"/>
      <c r="W63" s="6"/>
      <c r="X63" s="6"/>
      <c r="Y63" s="22"/>
    </row>
    <row r="64" spans="2:25" x14ac:dyDescent="0.25">
      <c r="B64" s="21"/>
      <c r="C64" s="102" t="s">
        <v>305</v>
      </c>
      <c r="D64" s="6"/>
      <c r="E64" s="6"/>
      <c r="F64" s="6"/>
      <c r="G64" s="6"/>
      <c r="H64" s="6"/>
      <c r="I64" s="6"/>
      <c r="J64" s="6"/>
      <c r="K64" s="6"/>
      <c r="L64" s="6"/>
      <c r="M64" s="6"/>
      <c r="N64" s="6"/>
      <c r="O64" s="6"/>
      <c r="P64" s="6"/>
      <c r="Q64" s="6"/>
      <c r="R64" s="6"/>
      <c r="S64" s="6"/>
      <c r="T64" s="6"/>
      <c r="U64" s="6"/>
      <c r="V64" s="6"/>
      <c r="W64" s="6"/>
      <c r="X64" s="6"/>
      <c r="Y64" s="22"/>
    </row>
    <row r="65" spans="2:25" x14ac:dyDescent="0.25">
      <c r="B65" s="21"/>
      <c r="C65" s="6"/>
      <c r="D65" s="6"/>
      <c r="E65" s="6"/>
      <c r="F65" s="6"/>
      <c r="G65" s="6"/>
      <c r="H65" s="6"/>
      <c r="I65" s="6"/>
      <c r="J65" s="6"/>
      <c r="K65" s="6"/>
      <c r="L65" s="6"/>
      <c r="M65" s="6"/>
      <c r="N65" s="6"/>
      <c r="O65" s="6"/>
      <c r="P65" s="6"/>
      <c r="Q65" s="6"/>
      <c r="R65" s="6"/>
      <c r="S65" s="6"/>
      <c r="T65" s="6"/>
      <c r="U65" s="6"/>
      <c r="V65" s="6"/>
      <c r="W65" s="6"/>
      <c r="X65" s="6"/>
      <c r="Y65" s="22"/>
    </row>
    <row r="66" spans="2:25" x14ac:dyDescent="0.25">
      <c r="B66" s="21"/>
      <c r="C66" s="51" t="s">
        <v>877</v>
      </c>
      <c r="D66" s="51"/>
      <c r="E66" s="51"/>
      <c r="F66" s="51"/>
      <c r="G66" s="51"/>
      <c r="H66" s="47"/>
      <c r="I66" s="721" t="str">
        <f>IFERROR(INDEX(Paramètres!BE:BE,MATCH(Phyto!I67,Paramètres!BI:BI,0)),"")</f>
        <v/>
      </c>
      <c r="J66" s="722"/>
      <c r="K66" s="722"/>
      <c r="L66" s="722"/>
      <c r="M66" s="723"/>
      <c r="N66" s="6"/>
      <c r="O66" s="6"/>
      <c r="P66" s="6"/>
      <c r="Q66" s="6"/>
      <c r="R66" s="6"/>
      <c r="S66" s="6"/>
      <c r="T66" s="6"/>
      <c r="U66" s="6"/>
      <c r="V66" s="6"/>
      <c r="W66" s="6"/>
      <c r="X66" s="6"/>
      <c r="Y66" s="22"/>
    </row>
    <row r="67" spans="2:25" x14ac:dyDescent="0.25">
      <c r="B67" s="21"/>
      <c r="C67" s="51" t="s">
        <v>682</v>
      </c>
      <c r="D67" s="51"/>
      <c r="E67" s="51"/>
      <c r="F67" s="51"/>
      <c r="G67" s="51"/>
      <c r="H67" s="47"/>
      <c r="I67" s="721" t="str">
        <f>IF(Identification!R32=0,"",Identification!R32)</f>
        <v/>
      </c>
      <c r="J67" s="722"/>
      <c r="K67" s="722"/>
      <c r="L67" s="722"/>
      <c r="M67" s="723"/>
      <c r="N67" s="6"/>
      <c r="O67" s="213" t="s">
        <v>910</v>
      </c>
      <c r="P67" s="214"/>
      <c r="Q67" s="213"/>
      <c r="R67" s="413"/>
      <c r="S67" s="410" t="str">
        <f>IFERROR(INDEX(Paramètres!BG:BG,MATCH(Phyto!I67,Paramètres!BI:BI,0)),"")</f>
        <v/>
      </c>
      <c r="T67" s="411"/>
      <c r="U67" s="411"/>
      <c r="V67" s="411"/>
      <c r="W67" s="411"/>
      <c r="X67" s="412"/>
      <c r="Y67" s="22"/>
    </row>
    <row r="68" spans="2:25" x14ac:dyDescent="0.25">
      <c r="B68" s="21"/>
      <c r="C68" s="6"/>
      <c r="D68" s="6"/>
      <c r="E68" s="6"/>
      <c r="F68" s="6"/>
      <c r="G68" s="6"/>
      <c r="H68" s="6"/>
      <c r="I68" s="6"/>
      <c r="J68" s="6"/>
      <c r="K68" s="6"/>
      <c r="L68" s="6"/>
      <c r="M68" s="6"/>
      <c r="N68" s="6"/>
      <c r="O68" s="6"/>
      <c r="P68" s="6"/>
      <c r="Q68" s="6"/>
      <c r="R68" s="6"/>
      <c r="S68" s="6"/>
      <c r="T68" s="6"/>
      <c r="U68" s="6"/>
      <c r="V68" s="6"/>
      <c r="W68" s="6"/>
      <c r="X68" s="6"/>
      <c r="Y68" s="22"/>
    </row>
    <row r="69" spans="2:25" x14ac:dyDescent="0.25">
      <c r="B69" s="21"/>
      <c r="C69" s="46" t="s">
        <v>692</v>
      </c>
      <c r="D69" s="6"/>
      <c r="E69" s="6"/>
      <c r="F69" s="6"/>
      <c r="G69" s="6"/>
      <c r="H69" s="6"/>
      <c r="I69" s="6"/>
      <c r="J69" s="6"/>
      <c r="K69" s="6"/>
      <c r="L69" s="6"/>
      <c r="M69" s="6"/>
      <c r="N69" s="6"/>
      <c r="O69" s="6"/>
      <c r="P69" s="6"/>
      <c r="Q69" s="6"/>
      <c r="R69" s="6"/>
      <c r="S69" s="6"/>
      <c r="T69" s="6"/>
      <c r="U69" s="6"/>
      <c r="V69" s="6"/>
      <c r="W69" s="6"/>
      <c r="X69" s="6"/>
      <c r="Y69" s="22"/>
    </row>
    <row r="70" spans="2:25" ht="15.75" thickBot="1" x14ac:dyDescent="0.3">
      <c r="B70" s="21"/>
      <c r="C70" s="6"/>
      <c r="D70" s="6"/>
      <c r="E70" s="6"/>
      <c r="F70" s="6"/>
      <c r="G70" s="6"/>
      <c r="H70" s="6"/>
      <c r="I70" s="6"/>
      <c r="J70" s="6"/>
      <c r="K70" s="6"/>
      <c r="L70" s="6"/>
      <c r="M70" s="6"/>
      <c r="N70" s="6"/>
      <c r="O70" s="6"/>
      <c r="P70" s="6"/>
      <c r="Q70" s="6"/>
      <c r="R70" s="6"/>
      <c r="S70" s="6"/>
      <c r="T70" s="6"/>
      <c r="U70" s="6"/>
      <c r="V70" s="6"/>
      <c r="W70" s="6"/>
      <c r="X70" s="6"/>
      <c r="Y70" s="22"/>
    </row>
    <row r="71" spans="2:25" x14ac:dyDescent="0.25">
      <c r="B71" s="21"/>
      <c r="C71" s="932" t="s">
        <v>338</v>
      </c>
      <c r="D71" s="933"/>
      <c r="E71" s="933"/>
      <c r="F71" s="933"/>
      <c r="G71" s="933"/>
      <c r="H71" s="933"/>
      <c r="I71" s="933"/>
      <c r="J71" s="912" t="s">
        <v>300</v>
      </c>
      <c r="K71" s="912"/>
      <c r="L71" s="912" t="s">
        <v>299</v>
      </c>
      <c r="M71" s="912"/>
      <c r="N71" s="912" t="s">
        <v>393</v>
      </c>
      <c r="O71" s="912"/>
      <c r="P71" s="912" t="s">
        <v>915</v>
      </c>
      <c r="Q71" s="935"/>
      <c r="R71" s="6"/>
      <c r="S71" s="6"/>
      <c r="T71" s="6"/>
      <c r="U71" s="6"/>
      <c r="V71" s="6"/>
      <c r="W71" s="6"/>
      <c r="X71" s="6"/>
      <c r="Y71" s="22"/>
    </row>
    <row r="72" spans="2:25" x14ac:dyDescent="0.25">
      <c r="B72" s="21"/>
      <c r="C72" s="929" t="s">
        <v>309</v>
      </c>
      <c r="D72" s="930"/>
      <c r="E72" s="930"/>
      <c r="F72" s="930"/>
      <c r="G72" s="930"/>
      <c r="H72" s="930"/>
      <c r="I72" s="931"/>
      <c r="J72" s="896" t="str">
        <f>IFERROR(IF(OR((SUM(Surfaces!$O$77:$O$119)+SUM(Surfaces!$O$127:$O$128))&gt;0,Surfaces!O132&gt;0),((SUM(Surfaces!O77:O119)+SUM(Surfaces!O127:O128))*INDEX(Scoring_GC!D:D,MATCH(cRegion,Scoring_GC!B:B,0))+Surfaces!O132*INDEX(Scoring_GC!J:J,MATCH(cRegion,Scoring_GC!H:H,0)))/(SUM(Surfaces!O77:O119)+SUM(Surfaces!O127:O128)+Surfaces!O132),""),"")</f>
        <v/>
      </c>
      <c r="K72" s="896"/>
      <c r="L72" s="896" t="str">
        <f>IFERROR(IF(OR((SUM(Surfaces!$O$77:$O$119)+SUM(Surfaces!$O$127:$O$128))&gt;0,Surfaces!O132&gt;0),((SUM(Surfaces!O77:O119)+SUM(Surfaces!O127:O128))*INDEX(Scoring_GC!C:C,MATCH(cRegion,Scoring_GC!B:B,0))+Surfaces!O132*INDEX(Scoring_GC!I:I,MATCH(cRegion,Scoring_GC!H:H,0)))/(SUM(Surfaces!O77:O119)+SUM(Surfaces!O127:O128)+Surfaces!O132),""),"")</f>
        <v/>
      </c>
      <c r="M72" s="896"/>
      <c r="N72" s="896" t="str">
        <f>IFERROR(IF(Surfaces!O132&lt;&gt;"",((SUM(Surfaces!O77:O119)+SUM(Surfaces!O127:O128))*IF(INDEX(Scoring_GC!P:P,MATCH(cRegion,Scoring_GC!N:N,0))="","",INDEX(Scoring_GC!P:P,MATCH(cRegion,Scoring_GC!N:N,0)))+Surfaces!O132*IF(INDEX(Scoring_GC!V:V,MATCH(cRegion,Scoring_GC!T:T,0))="","",INDEX(Scoring_GC!V:V,MATCH(cRegion,Scoring_GC!T:T,0)))/(SUM(Surfaces!O77:O119)+SUM(Surfaces!O127:O128)+Surfaces!O132)),IF(INDEX(Scoring_GC!P:P,MATCH(cRegion,Scoring_GC!N:N,0))="","",INDEX(Scoring_GC!P:P,MATCH(cRegion,Scoring_GC!N:N,0)))),"")</f>
        <v/>
      </c>
      <c r="O72" s="896"/>
      <c r="P72" s="896" t="str">
        <f>IFERROR(IF(Surfaces!O132&lt;&gt;"",((SUM(Surfaces!O77:O119)+SUM(Surfaces!O127:O128))*IF(INDEX(Scoring_GC!O:O,MATCH(cRegion,Scoring_GC!N:N,0))="","",INDEX(Scoring_GC!O:O,MATCH(cRegion,Scoring_GC!N:N,0)))+Surfaces!O132*IF(INDEX(Scoring_GC!U:U,MATCH(cRegion,Scoring_GC!T:T,0))="","",INDEX(Scoring_GC!U:U,MATCH(cRegion,Scoring_GC!T:T,0))))/(SUM(Surfaces!O77:O119)+SUM(Surfaces!O127:O128)+Surfaces!O132),IF(INDEX(Scoring_GC!O:O,MATCH(cRegion,Scoring_GC!N:N,0))="","",INDEX(Scoring_GC!O:O,MATCH(cRegion,Scoring_GC!N:N,0)))),"")</f>
        <v/>
      </c>
      <c r="Q72" s="897"/>
      <c r="R72" s="6"/>
      <c r="S72" s="6"/>
      <c r="T72" s="6"/>
      <c r="U72" s="6"/>
      <c r="V72" s="6"/>
      <c r="W72" s="6"/>
      <c r="X72" s="6"/>
      <c r="Y72" s="22"/>
    </row>
    <row r="73" spans="2:25" ht="15.75" thickBot="1" x14ac:dyDescent="0.3">
      <c r="B73" s="21"/>
      <c r="C73" s="905" t="s">
        <v>306</v>
      </c>
      <c r="D73" s="906"/>
      <c r="E73" s="906"/>
      <c r="F73" s="906"/>
      <c r="G73" s="906"/>
      <c r="H73" s="906"/>
      <c r="I73" s="907"/>
      <c r="J73" s="908" t="str">
        <f>IFERROR(IF(OR((SUM(Surfaces!$O$77:$O$119)+SUM(Surfaces!$O$127:$O$128))&gt;0,Surfaces!O132&gt;0),((SUM(Surfaces!O77:O119)+SUM(Surfaces!O127:O128))*INDEX(Scoring_GC!F:F,MATCH(cRegion,Scoring_GC!B:B,0))+Surfaces!O132*INDEX(Scoring_GC!L:L,MATCH(cRegion,Scoring_GC!H:H,0)))/(SUM(Surfaces!O77:O119)+SUM(Surfaces!O127:O128)+Surfaces!O132),""),"")</f>
        <v/>
      </c>
      <c r="K73" s="908"/>
      <c r="L73" s="908" t="str">
        <f>IFERROR(IF(OR((SUM(Surfaces!$O$77:$O$119)+SUM(Surfaces!$O$127:$O$128))&gt;0,Surfaces!O132&gt;0),((SUM(Surfaces!O77:O119)+SUM(Surfaces!O127:O128))*INDEX(Scoring_GC!E:E,MATCH(cRegion,Scoring_GC!B:B,0))+Surfaces!O132*INDEX(Scoring_GC!K:K,MATCH(cRegion,Scoring_GC!H:H,0)))/(SUM(Surfaces!O77:O119)+SUM(Surfaces!O127:O128)+Surfaces!O132),""),"")</f>
        <v/>
      </c>
      <c r="M73" s="908"/>
      <c r="N73" s="908" t="str">
        <f>IFERROR(IF(Surfaces!O132&lt;&gt;"",((SUM(Surfaces!O77:O119)+SUM(Surfaces!O127:O128))*IF(INDEX(Scoring_GC!R:R,MATCH(cRegion,Scoring_GC!N:N,0))="","",INDEX(Scoring_GC!R:R,MATCH(cRegion,Scoring_GC!N:N,0)))+Surfaces!O132*IF(INDEX(Scoring_GC!X:X,MATCH(cRegion,Scoring_GC!T:T,0))="","",INDEX(Scoring_GC!X:X,MATCH(cRegion,Scoring_GC!T:T,0))))/(SUM(Surfaces!O77:O119)+SUM(Surfaces!O127:O128)+Surfaces!O132),IF(INDEX(Scoring_GC!R:R,MATCH(cRegion,Scoring_GC!N:N,0))="","",INDEX(Scoring_GC!R:R,MATCH(cRegion,Scoring_GC!N:N,0)))),"")</f>
        <v/>
      </c>
      <c r="O73" s="908"/>
      <c r="P73" s="908" t="str">
        <f>IFERROR(IF(Surfaces!O132&lt;&gt;"",((SUM(Surfaces!O77:O119)+SUM(Surfaces!O127:O128))*IF(INDEX(Scoring_GC!Q:Q,MATCH(cRegion,Scoring_GC!N:N,0))="","",INDEX(Scoring_GC!Q:Q,MATCH(cRegion,Scoring_GC!N:N,0)))+Surfaces!O132*IF(INDEX(Scoring_GC!W:W,MATCH(cRegion,Scoring_GC!T:T,0))="","",INDEX(Scoring_GC!W:W,MATCH(cRegion,Scoring_GC!T:T,0))))/(SUM(Surfaces!O77:O119)+SUM(Surfaces!O127:O128)+Surfaces!O132),IF(INDEX(Scoring_GC!Q:Q,MATCH(cRegion,Scoring_GC!N:N,0))="","",INDEX(Scoring_GC!Q:Q,MATCH(cRegion,Scoring_GC!N:N,0)))),"")</f>
        <v/>
      </c>
      <c r="Q73" s="909"/>
      <c r="R73" s="6"/>
      <c r="S73" s="6"/>
      <c r="T73" s="6"/>
      <c r="U73" s="6"/>
      <c r="V73" s="6"/>
      <c r="W73" s="6"/>
      <c r="X73" s="6"/>
      <c r="Y73" s="22"/>
    </row>
    <row r="74" spans="2:25" x14ac:dyDescent="0.25">
      <c r="B74" s="21"/>
      <c r="C74" s="6"/>
      <c r="D74" s="6"/>
      <c r="E74" s="6"/>
      <c r="F74" s="6"/>
      <c r="G74" s="6"/>
      <c r="H74" s="6"/>
      <c r="I74" s="6"/>
      <c r="J74" s="6"/>
      <c r="K74" s="6"/>
      <c r="L74" s="6"/>
      <c r="M74" s="6"/>
      <c r="N74" s="6"/>
      <c r="O74" s="6"/>
      <c r="P74" s="6"/>
      <c r="Q74" s="6"/>
      <c r="R74" s="6"/>
      <c r="S74" s="6"/>
      <c r="T74" s="6"/>
      <c r="U74" s="6"/>
      <c r="V74" s="6"/>
      <c r="W74" s="6"/>
      <c r="X74" s="6"/>
      <c r="Y74" s="22"/>
    </row>
    <row r="75" spans="2:25" ht="15.75" thickBot="1" x14ac:dyDescent="0.3">
      <c r="B75" s="21"/>
      <c r="C75" s="6"/>
      <c r="D75" s="6"/>
      <c r="E75" s="6"/>
      <c r="F75" s="6"/>
      <c r="G75" s="6"/>
      <c r="H75" s="6"/>
      <c r="I75" s="6"/>
      <c r="J75" s="6"/>
      <c r="K75" s="6"/>
      <c r="L75" s="6"/>
      <c r="M75" s="6"/>
      <c r="N75" s="6"/>
      <c r="O75" s="6"/>
      <c r="P75" s="6"/>
      <c r="Q75" s="6"/>
      <c r="R75" s="6"/>
      <c r="S75" s="6"/>
      <c r="T75" s="6"/>
      <c r="U75" s="6"/>
      <c r="V75" s="6"/>
      <c r="W75" s="6"/>
      <c r="X75" s="6"/>
      <c r="Y75" s="22"/>
    </row>
    <row r="76" spans="2:25" x14ac:dyDescent="0.25">
      <c r="B76" s="21"/>
      <c r="C76" s="932" t="s">
        <v>312</v>
      </c>
      <c r="D76" s="933"/>
      <c r="E76" s="933"/>
      <c r="F76" s="933"/>
      <c r="G76" s="933"/>
      <c r="H76" s="933"/>
      <c r="I76" s="933"/>
      <c r="J76" s="912" t="s">
        <v>300</v>
      </c>
      <c r="K76" s="912"/>
      <c r="L76" s="912" t="s">
        <v>299</v>
      </c>
      <c r="M76" s="912"/>
      <c r="N76" s="912" t="s">
        <v>393</v>
      </c>
      <c r="O76" s="912"/>
      <c r="P76" s="912" t="s">
        <v>915</v>
      </c>
      <c r="Q76" s="935"/>
      <c r="R76" s="6"/>
      <c r="S76" s="6"/>
      <c r="T76" s="6"/>
      <c r="U76" s="6"/>
      <c r="V76" s="6"/>
      <c r="W76" s="6"/>
      <c r="X76" s="6"/>
      <c r="Y76" s="22"/>
    </row>
    <row r="77" spans="2:25" x14ac:dyDescent="0.25">
      <c r="B77" s="21"/>
      <c r="C77" s="929" t="s">
        <v>307</v>
      </c>
      <c r="D77" s="930"/>
      <c r="E77" s="930"/>
      <c r="F77" s="930"/>
      <c r="G77" s="930"/>
      <c r="H77" s="930"/>
      <c r="I77" s="931"/>
      <c r="J77" s="896" t="str">
        <f>IFERROR(IF(Surfaces!O141&lt;&gt;"",INDEX(Scoring_Viticulture!E:E,MATCH(cBassinViti,Scoring_Viticulture!C:C,0)),""),"")</f>
        <v/>
      </c>
      <c r="K77" s="896"/>
      <c r="L77" s="896" t="str">
        <f>IFERROR(IF(Surfaces!O141&lt;&gt;"",INDEX(Scoring_Viticulture!D:D,MATCH(cBassinViti,Scoring_Viticulture!C:C,0)),""),"")</f>
        <v/>
      </c>
      <c r="M77" s="896"/>
      <c r="N77" s="896" t="str">
        <f>IFERROR(IF(INDEX(Scoring_Viticulture!L:L,MATCH(cBassinViti,Scoring_Viticulture!J:J,0))="","",INDEX(Scoring_Viticulture!L:L,MATCH(cBassinViti,Scoring_Viticulture!J:J,0))),"")</f>
        <v/>
      </c>
      <c r="O77" s="896"/>
      <c r="P77" s="896" t="str">
        <f>IFERROR(IF(INDEX(Scoring_Viticulture!K:K,MATCH(cBassinViti,Scoring_Viticulture!J:J,0))="","",INDEX(Scoring_Viticulture!K:K,MATCH(cBassinViti,Scoring_Viticulture!J:J,0))),"")</f>
        <v/>
      </c>
      <c r="Q77" s="897"/>
      <c r="R77" s="6"/>
      <c r="S77" s="6"/>
      <c r="T77" s="6"/>
      <c r="U77" s="6"/>
      <c r="V77" s="6"/>
      <c r="W77" s="6"/>
      <c r="X77" s="6"/>
      <c r="Y77" s="22"/>
    </row>
    <row r="78" spans="2:25" ht="15.75" thickBot="1" x14ac:dyDescent="0.3">
      <c r="B78" s="21"/>
      <c r="C78" s="905" t="s">
        <v>306</v>
      </c>
      <c r="D78" s="906"/>
      <c r="E78" s="906"/>
      <c r="F78" s="906"/>
      <c r="G78" s="906"/>
      <c r="H78" s="906"/>
      <c r="I78" s="907"/>
      <c r="J78" s="908" t="str">
        <f>IFERROR(IF(Surfaces!O141&lt;&gt;"",INDEX(Scoring_Viticulture!G:G,MATCH(cBassinViti,Scoring_Viticulture!C:C,0)),""),"")</f>
        <v/>
      </c>
      <c r="K78" s="908"/>
      <c r="L78" s="908" t="str">
        <f>IFERROR(IF(Surfaces!O141&lt;&gt;"",INDEX(Scoring_Viticulture!F:F,MATCH(cBassinViti,Scoring_Viticulture!C:C,0)),""),"")</f>
        <v/>
      </c>
      <c r="M78" s="908"/>
      <c r="N78" s="908" t="str">
        <f>IFERROR(IF(INDEX(Scoring_Viticulture!N:N,MATCH(cBassinViti,Scoring_Viticulture!J:J,0))="","",INDEX(Scoring_Viticulture!N:N,MATCH(cBassinViti,Scoring_Viticulture!J:J,0))),"")</f>
        <v/>
      </c>
      <c r="O78" s="908"/>
      <c r="P78" s="908" t="str">
        <f>IFERROR(IF(INDEX(Scoring_Viticulture!M:M,MATCH(cBassinViti,Scoring_Viticulture!J:J,0))="","",INDEX(Scoring_Viticulture!M:M,MATCH(cBassinViti,Scoring_Viticulture!J:J,0))),"")</f>
        <v/>
      </c>
      <c r="Q78" s="909"/>
      <c r="R78" s="6"/>
      <c r="S78" s="6"/>
      <c r="T78" s="6"/>
      <c r="U78" s="6"/>
      <c r="V78" s="6"/>
      <c r="W78" s="6"/>
      <c r="X78" s="6"/>
      <c r="Y78" s="22"/>
    </row>
    <row r="79" spans="2:25" ht="15.75" thickBot="1" x14ac:dyDescent="0.3">
      <c r="B79" s="21"/>
      <c r="C79" s="6"/>
      <c r="D79" s="6"/>
      <c r="E79" s="6"/>
      <c r="F79" s="6"/>
      <c r="G79" s="6"/>
      <c r="H79" s="6"/>
      <c r="I79" s="6"/>
      <c r="J79" s="6"/>
      <c r="K79" s="6"/>
      <c r="L79" s="6"/>
      <c r="M79" s="6"/>
      <c r="N79" s="6"/>
      <c r="O79" s="6"/>
      <c r="P79" s="6"/>
      <c r="Q79" s="6"/>
      <c r="R79" s="6"/>
      <c r="S79" s="6"/>
      <c r="T79" s="6"/>
      <c r="U79" s="6"/>
      <c r="V79" s="6"/>
      <c r="W79" s="6"/>
      <c r="X79" s="6"/>
      <c r="Y79" s="22"/>
    </row>
    <row r="80" spans="2:25" x14ac:dyDescent="0.25">
      <c r="B80" s="21"/>
      <c r="C80" s="932" t="s">
        <v>314</v>
      </c>
      <c r="D80" s="933"/>
      <c r="E80" s="933"/>
      <c r="F80" s="933"/>
      <c r="G80" s="933"/>
      <c r="H80" s="933"/>
      <c r="I80" s="933"/>
      <c r="J80" s="912" t="s">
        <v>300</v>
      </c>
      <c r="K80" s="912"/>
      <c r="L80" s="912" t="s">
        <v>299</v>
      </c>
      <c r="M80" s="912"/>
      <c r="N80" s="912" t="s">
        <v>393</v>
      </c>
      <c r="O80" s="912"/>
      <c r="P80" s="912" t="s">
        <v>915</v>
      </c>
      <c r="Q80" s="935"/>
      <c r="R80" s="6"/>
      <c r="S80" s="6"/>
      <c r="T80" s="6"/>
      <c r="U80" s="6"/>
      <c r="V80" s="6"/>
      <c r="W80" s="6"/>
      <c r="X80" s="6"/>
      <c r="Y80" s="22"/>
    </row>
    <row r="81" spans="2:36" x14ac:dyDescent="0.25">
      <c r="B81" s="21"/>
      <c r="C81" s="929" t="s">
        <v>307</v>
      </c>
      <c r="D81" s="930"/>
      <c r="E81" s="930"/>
      <c r="F81" s="930"/>
      <c r="G81" s="930"/>
      <c r="H81" s="930"/>
      <c r="I81" s="931"/>
      <c r="J81" s="896" t="str">
        <f>IFERROR(SUMPRODUCT(Surfaces!$O$143:$O$157,Surfaces!AD$143:AD$157)/SUM(Surfaces!O143:O157),"")</f>
        <v/>
      </c>
      <c r="K81" s="896"/>
      <c r="L81" s="896" t="str">
        <f>IFERROR(SUMPRODUCT(Surfaces!$O$143:$O$157,Surfaces!AC$143:AC$157)/SUM(Surfaces!$O$143:$O$157),"")</f>
        <v/>
      </c>
      <c r="M81" s="896"/>
      <c r="N81" s="896" t="str">
        <f>IFERROR(IF(SUMPRODUCT(Surfaces!$O$143:$O$157,Surfaces!AI$143:AI$157)=0,"",SUMPRODUCT(Surfaces!$O$143:$O$157,Surfaces!AI$143:AI$157))/SUM(Surfaces!$O$143:$O$157),"")</f>
        <v/>
      </c>
      <c r="O81" s="896"/>
      <c r="P81" s="896" t="str">
        <f>IFERROR(IF(SUMPRODUCT(Surfaces!$O$143:$O$157,Surfaces!AH$143:AH$157)=0,"",SUMPRODUCT(Surfaces!$O$143:$O$157,Surfaces!AH$143:AH$157))/SUM(Surfaces!$O$143:$O$157),"")</f>
        <v/>
      </c>
      <c r="Q81" s="897"/>
      <c r="R81" s="6"/>
      <c r="S81" s="6"/>
      <c r="T81" s="152"/>
      <c r="U81" s="6"/>
      <c r="V81" s="6"/>
      <c r="W81" s="6"/>
      <c r="X81" s="6"/>
      <c r="Y81" s="22"/>
    </row>
    <row r="82" spans="2:36" ht="15.75" thickBot="1" x14ac:dyDescent="0.3">
      <c r="B82" s="21"/>
      <c r="C82" s="905" t="s">
        <v>306</v>
      </c>
      <c r="D82" s="906"/>
      <c r="E82" s="906"/>
      <c r="F82" s="906"/>
      <c r="G82" s="906"/>
      <c r="H82" s="906"/>
      <c r="I82" s="907"/>
      <c r="J82" s="908" t="str">
        <f>IFERROR(SUMPRODUCT(Surfaces!$O$143:$O$157,Surfaces!AF$143:AF$157)/SUM(Surfaces!$O$143:$O$157),"")</f>
        <v/>
      </c>
      <c r="K82" s="908"/>
      <c r="L82" s="908" t="str">
        <f>IFERROR(SUMPRODUCT(Surfaces!$O$143:$O$157,Surfaces!AE$143:AE$157)/SUM(Surfaces!$O$143:$O$157),"")</f>
        <v/>
      </c>
      <c r="M82" s="908"/>
      <c r="N82" s="908" t="str">
        <f>IFERROR(IF(SUMPRODUCT(Surfaces!$O$143:$O$157,Surfaces!AK$143:AK$157)=0,"",SUMPRODUCT(Surfaces!$O$143:$O$157,Surfaces!AK$143:AK$157))/SUM(Surfaces!$O$143:$O$157),"")</f>
        <v/>
      </c>
      <c r="O82" s="908"/>
      <c r="P82" s="908" t="str">
        <f>IFERROR(IF(SUMPRODUCT(Surfaces!$O$143:$O$157,Surfaces!AJ$143:AJ$157)=0,"",SUMPRODUCT(Surfaces!$O$143:$O$157,Surfaces!AJ$143:AJ$157))/SUM(Surfaces!$O$143:$O$157),"")</f>
        <v/>
      </c>
      <c r="Q82" s="909"/>
      <c r="R82" s="6"/>
      <c r="S82" s="6"/>
      <c r="T82" s="6"/>
      <c r="U82" s="6"/>
      <c r="V82" s="6"/>
      <c r="W82" s="6"/>
      <c r="X82" s="6"/>
      <c r="Y82" s="22"/>
    </row>
    <row r="83" spans="2:36" x14ac:dyDescent="0.25">
      <c r="B83" s="21"/>
      <c r="C83" s="6"/>
      <c r="D83" s="6"/>
      <c r="E83" s="6"/>
      <c r="F83" s="6"/>
      <c r="G83" s="6"/>
      <c r="H83" s="6"/>
      <c r="I83" s="6"/>
      <c r="J83" s="6"/>
      <c r="K83" s="6"/>
      <c r="L83" s="6"/>
      <c r="M83" s="6"/>
      <c r="N83" s="6"/>
      <c r="O83" s="6"/>
      <c r="P83" s="6"/>
      <c r="Q83" s="6"/>
      <c r="R83" s="6"/>
      <c r="S83" s="6"/>
      <c r="T83" s="6"/>
      <c r="U83" s="6"/>
      <c r="V83" s="6"/>
      <c r="W83" s="6"/>
      <c r="X83" s="6"/>
      <c r="Y83" s="22"/>
    </row>
    <row r="84" spans="2:36" x14ac:dyDescent="0.25">
      <c r="B84" s="21"/>
      <c r="C84" s="56"/>
      <c r="D84" s="56"/>
      <c r="E84" s="56"/>
      <c r="F84" s="56"/>
      <c r="G84" s="56"/>
      <c r="H84" s="56"/>
      <c r="I84" s="56"/>
      <c r="J84" s="56"/>
      <c r="K84" s="56"/>
      <c r="L84" s="56"/>
      <c r="M84" s="56"/>
      <c r="N84" s="56"/>
      <c r="O84" s="56"/>
      <c r="P84" s="56"/>
      <c r="Q84" s="56"/>
      <c r="R84" s="56"/>
      <c r="S84" s="56"/>
      <c r="T84" s="56"/>
      <c r="U84" s="56"/>
      <c r="V84" s="56"/>
      <c r="W84" s="56"/>
      <c r="X84" s="56"/>
      <c r="Y84" s="22"/>
    </row>
    <row r="85" spans="2:36" x14ac:dyDescent="0.25">
      <c r="B85" s="21"/>
      <c r="C85" s="46" t="s">
        <v>311</v>
      </c>
      <c r="D85" s="6"/>
      <c r="E85" s="6"/>
      <c r="F85" s="6"/>
      <c r="G85" s="6"/>
      <c r="H85" s="6"/>
      <c r="I85" s="6"/>
      <c r="J85" s="6"/>
      <c r="K85" s="6"/>
      <c r="L85" s="6"/>
      <c r="M85" s="6"/>
      <c r="N85" s="6"/>
      <c r="O85" s="6"/>
      <c r="P85" s="6"/>
      <c r="Q85" s="6"/>
      <c r="R85" s="6"/>
      <c r="S85" s="6"/>
      <c r="T85" s="6"/>
      <c r="U85" s="6"/>
      <c r="V85" s="6"/>
      <c r="W85" s="6"/>
      <c r="X85" s="6"/>
      <c r="Y85" s="22"/>
      <c r="AH85" t="s">
        <v>864</v>
      </c>
    </row>
    <row r="86" spans="2:36" ht="15.75" thickBot="1" x14ac:dyDescent="0.3">
      <c r="B86" s="21"/>
      <c r="C86" s="6"/>
      <c r="D86" s="6"/>
      <c r="E86" s="6"/>
      <c r="F86" s="6"/>
      <c r="G86" s="6"/>
      <c r="H86" s="6"/>
      <c r="I86" s="6"/>
      <c r="J86" s="6"/>
      <c r="K86" s="6"/>
      <c r="L86" s="6"/>
      <c r="M86" s="6"/>
      <c r="N86" s="6"/>
      <c r="O86" s="6"/>
      <c r="P86" s="6"/>
      <c r="Q86" s="6"/>
      <c r="R86" s="6"/>
      <c r="S86" s="6"/>
      <c r="T86" s="6"/>
      <c r="U86" s="6"/>
      <c r="V86" s="6"/>
      <c r="W86" s="6"/>
      <c r="X86" s="6"/>
      <c r="Y86" s="22"/>
      <c r="AH86" t="s">
        <v>865</v>
      </c>
    </row>
    <row r="87" spans="2:36" ht="27" customHeight="1" x14ac:dyDescent="0.25">
      <c r="B87" s="21"/>
      <c r="C87" s="927" t="s">
        <v>313</v>
      </c>
      <c r="D87" s="928"/>
      <c r="E87" s="928"/>
      <c r="F87" s="928"/>
      <c r="G87" s="928"/>
      <c r="H87" s="928"/>
      <c r="I87" s="928"/>
      <c r="J87" s="912" t="s">
        <v>338</v>
      </c>
      <c r="K87" s="912"/>
      <c r="L87" s="919" t="s">
        <v>127</v>
      </c>
      <c r="M87" s="919"/>
      <c r="N87" s="919" t="s">
        <v>312</v>
      </c>
      <c r="O87" s="919"/>
      <c r="P87" s="919" t="s">
        <v>314</v>
      </c>
      <c r="Q87" s="920"/>
      <c r="R87" s="575"/>
      <c r="S87" s="576"/>
      <c r="T87" s="576"/>
      <c r="U87" s="576"/>
      <c r="V87" s="576"/>
      <c r="W87" s="576"/>
      <c r="Y87" s="22"/>
      <c r="AH87" s="409" t="s">
        <v>309</v>
      </c>
      <c r="AI87" s="408" t="str">
        <f>IF(OR(AND((SUM(Surfaces!$O$77:$O$119)+SUM(Surfaces!$O$127:$O$128))&gt;0,J88&lt;&gt;""),AND(Surfaces!$O$132&gt;0,L88&lt;&gt;"")),((SUM(Surfaces!$O$77:$O$119)+SUM(Surfaces!$O$127:$O$128))*J88+Surfaces!$O$132*L88)/(SUM(Surfaces!$O$77:$O$119)+SUM(Surfaces!$O$127:$O$128)+Surfaces!$O$132),"")</f>
        <v/>
      </c>
    </row>
    <row r="88" spans="2:36" ht="15" customHeight="1" x14ac:dyDescent="0.25">
      <c r="B88" s="21"/>
      <c r="C88" s="916" t="s">
        <v>309</v>
      </c>
      <c r="D88" s="917"/>
      <c r="E88" s="917"/>
      <c r="F88" s="917"/>
      <c r="G88" s="917"/>
      <c r="H88" s="917"/>
      <c r="I88" s="918"/>
      <c r="J88" s="923"/>
      <c r="K88" s="924"/>
      <c r="L88" s="923"/>
      <c r="M88" s="924"/>
      <c r="N88" s="923"/>
      <c r="O88" s="924"/>
      <c r="P88" s="923"/>
      <c r="Q88" s="925"/>
      <c r="R88" s="577"/>
      <c r="S88" s="578"/>
      <c r="T88" s="578"/>
      <c r="U88" s="578"/>
      <c r="V88" s="578"/>
      <c r="W88" s="578"/>
      <c r="Y88" s="22"/>
      <c r="AH88" s="409" t="s">
        <v>866</v>
      </c>
      <c r="AI88" s="408" t="str">
        <f>IF(OR(AND((SUM(Surfaces!$O$77:$O$119)+SUM(Surfaces!$O$127:$O$128))&gt;0,J89&lt;&gt;""),AND(Surfaces!$O$132&gt;0,L89&lt;&gt;"")),((SUM(Surfaces!$O$77:$O$119)+SUM(Surfaces!$O$127:$O$128))*J89+Surfaces!$O$132*L89)/(SUM(Surfaces!$O$77:$O$119)+SUM(Surfaces!$O$127:$O$128)+Surfaces!$O$132),"")</f>
        <v/>
      </c>
    </row>
    <row r="89" spans="2:36" ht="15.75" thickBot="1" x14ac:dyDescent="0.3">
      <c r="B89" s="21"/>
      <c r="C89" s="913" t="s">
        <v>310</v>
      </c>
      <c r="D89" s="914"/>
      <c r="E89" s="914"/>
      <c r="F89" s="914"/>
      <c r="G89" s="914"/>
      <c r="H89" s="914"/>
      <c r="I89" s="915"/>
      <c r="J89" s="921"/>
      <c r="K89" s="922"/>
      <c r="L89" s="921"/>
      <c r="M89" s="922"/>
      <c r="N89" s="921"/>
      <c r="O89" s="922"/>
      <c r="P89" s="921"/>
      <c r="Q89" s="926"/>
      <c r="R89" s="577"/>
      <c r="S89" s="578"/>
      <c r="T89" s="578"/>
      <c r="U89" s="578"/>
      <c r="V89" s="578"/>
      <c r="W89" s="578"/>
      <c r="Y89" s="22"/>
      <c r="AH89" s="409" t="s">
        <v>867</v>
      </c>
      <c r="AI89" s="408" t="str">
        <f>IF(J90="",IF(AI90=0,AI88,""),IF((Surfaces!$O$132&lt;&gt;""),((SUM(Surfaces!$O$77:$O$111)+SUM(Surfaces!$O$127:$O$128)-Surfaces!$O$88-Surfaces!$O$79)*J90+Surfaces!$O$132*L89)/(SUM(Surfaces!$O$77:$O$111)+SUM(Surfaces!$O$127:$O$128)-Surfaces!$O$88-Surfaces!$O$79+Surfaces!$O$132),J90))</f>
        <v/>
      </c>
      <c r="AJ89" s="562" t="s">
        <v>2559</v>
      </c>
    </row>
    <row r="90" spans="2:36" ht="15" hidden="1" customHeight="1" x14ac:dyDescent="0.25">
      <c r="B90" s="21"/>
      <c r="C90" s="977" t="s">
        <v>862</v>
      </c>
      <c r="D90" s="978"/>
      <c r="E90" s="978"/>
      <c r="F90" s="978"/>
      <c r="G90" s="978"/>
      <c r="H90" s="978"/>
      <c r="I90" s="978"/>
      <c r="J90" s="981"/>
      <c r="K90" s="982"/>
      <c r="L90" s="402"/>
      <c r="M90" s="402"/>
      <c r="N90" s="402"/>
      <c r="O90" s="402"/>
      <c r="P90" s="402"/>
      <c r="Q90" s="403"/>
      <c r="R90" s="577"/>
      <c r="S90" s="578"/>
      <c r="T90" s="578"/>
      <c r="U90" s="578"/>
      <c r="V90" s="578"/>
      <c r="W90" s="578"/>
      <c r="Y90" s="22"/>
      <c r="AH90" s="409" t="s">
        <v>868</v>
      </c>
      <c r="AI90" s="437">
        <f>IFERROR(K106/Surfaces!O162*100,0)</f>
        <v>100</v>
      </c>
      <c r="AJ90" s="562" t="s">
        <v>2559</v>
      </c>
    </row>
    <row r="91" spans="2:36" ht="15.75" hidden="1" customHeight="1" thickBot="1" x14ac:dyDescent="0.3">
      <c r="B91" s="21"/>
      <c r="C91" s="979"/>
      <c r="D91" s="980"/>
      <c r="E91" s="980"/>
      <c r="F91" s="980"/>
      <c r="G91" s="980"/>
      <c r="H91" s="980"/>
      <c r="I91" s="980"/>
      <c r="J91" s="983"/>
      <c r="K91" s="984"/>
      <c r="L91" s="404"/>
      <c r="M91" s="404"/>
      <c r="N91" s="404"/>
      <c r="O91" s="404"/>
      <c r="P91" s="404"/>
      <c r="Q91" s="405"/>
      <c r="R91" s="577"/>
      <c r="S91" s="578"/>
      <c r="T91" s="578"/>
      <c r="U91" s="578"/>
      <c r="V91" s="578"/>
      <c r="W91" s="578"/>
      <c r="X91" s="6"/>
      <c r="Y91" s="22"/>
      <c r="AH91" s="560" t="s">
        <v>869</v>
      </c>
      <c r="AI91" s="561" t="str">
        <f>IFERROR(IF(AND(AI89&lt;&gt;"",N73&lt;&gt;""),IF(AI89&lt;P73,Paramètres!AQ$12,IF(AI89&lt;P73+((N73-P73)/4),Paramètres!AQ$11,IF(AI89&lt;P73+2*((N73-P73)/4),Paramètres!AQ$10,IF(AI89&lt;P73+3*((N73-P73)/4),Paramètres!AQ$9,IF(AI89&lt;N73,Paramètres!AQ$8,IF(AI89&gt;=N73,Paramètres!AQ$7,"")))))),""),0)</f>
        <v/>
      </c>
      <c r="AJ91" s="562" t="s">
        <v>2559</v>
      </c>
    </row>
    <row r="92" spans="2:36" x14ac:dyDescent="0.25">
      <c r="B92" s="21"/>
      <c r="C92" s="6"/>
      <c r="D92" s="6"/>
      <c r="E92" s="6"/>
      <c r="F92" s="6"/>
      <c r="G92" s="6"/>
      <c r="H92" s="6"/>
      <c r="I92" s="6"/>
      <c r="J92" s="6"/>
      <c r="K92" s="6"/>
      <c r="L92" s="6"/>
      <c r="M92" s="6"/>
      <c r="N92" s="6"/>
      <c r="O92" s="6"/>
      <c r="P92" s="6"/>
      <c r="Q92" s="6"/>
      <c r="R92" s="6"/>
      <c r="S92" s="6"/>
      <c r="T92" s="6"/>
      <c r="U92" s="6"/>
      <c r="V92" s="6"/>
      <c r="W92" s="6"/>
      <c r="X92" s="6"/>
      <c r="Y92" s="22"/>
      <c r="AH92" s="560" t="s">
        <v>870</v>
      </c>
      <c r="AI92" s="561" t="str">
        <f>IF(AI91&lt;&gt;"",AI91-MIN(2,ROUNDDOWN(AI90/30,0)),"")</f>
        <v/>
      </c>
      <c r="AJ92" s="562" t="s">
        <v>2559</v>
      </c>
    </row>
    <row r="93" spans="2:36" x14ac:dyDescent="0.25">
      <c r="B93" s="21"/>
      <c r="C93" s="46"/>
      <c r="D93" s="6"/>
      <c r="E93" s="741" t="s">
        <v>245</v>
      </c>
      <c r="F93" s="741"/>
      <c r="G93" s="6"/>
      <c r="H93" s="6"/>
      <c r="I93" s="6"/>
      <c r="J93" s="6"/>
      <c r="K93" s="6"/>
      <c r="L93" s="6"/>
      <c r="M93" s="6"/>
      <c r="N93" s="6"/>
      <c r="O93" s="6"/>
      <c r="P93" s="6"/>
      <c r="Q93" s="6"/>
      <c r="R93" s="6"/>
      <c r="S93" s="6"/>
      <c r="T93" s="6"/>
      <c r="U93" s="6"/>
      <c r="V93" s="6"/>
      <c r="W93" s="6"/>
      <c r="X93" s="6"/>
      <c r="Y93" s="22"/>
      <c r="AH93" s="409" t="s">
        <v>871</v>
      </c>
      <c r="AI93" s="408" t="str">
        <f>IFERROR(IF(AND(AI88&lt;&gt;"",N73&lt;&gt;""),IF(AI88&lt;P73,Paramètres!AQ$12,IF(AI88&lt;P73+((N73-P73)/4),Paramètres!AQ$11,IF(AI88&lt;P73+2*((N73-P73)/4),Paramètres!AQ$10,IF(AI88&lt;P73+3*((N73-P73)/4),Paramètres!AQ$9,IF(AI88&lt;N73,Paramètres!AQ$8,IF(AI88&gt;=N73,Paramètres!AQ$7,"")))))),""),0)</f>
        <v/>
      </c>
      <c r="AJ93" t="s">
        <v>2557</v>
      </c>
    </row>
    <row r="94" spans="2:36" ht="15.75" thickBot="1" x14ac:dyDescent="0.3">
      <c r="B94" s="21"/>
      <c r="C94" s="6"/>
      <c r="D94" s="6"/>
      <c r="E94" s="6"/>
      <c r="F94" s="6"/>
      <c r="G94" s="6"/>
      <c r="H94" s="6"/>
      <c r="I94" s="6"/>
      <c r="J94" s="6"/>
      <c r="K94" s="6"/>
      <c r="L94" s="6"/>
      <c r="M94" s="6"/>
      <c r="N94" s="6"/>
      <c r="O94" s="6"/>
      <c r="P94" s="6"/>
      <c r="Q94" s="6"/>
      <c r="R94" s="6"/>
      <c r="S94" s="6"/>
      <c r="T94" s="6"/>
      <c r="U94" s="6"/>
      <c r="V94" s="6"/>
      <c r="W94" s="6"/>
      <c r="X94" s="6"/>
      <c r="Y94" s="22"/>
    </row>
    <row r="95" spans="2:36" ht="30.75" customHeight="1" x14ac:dyDescent="0.25">
      <c r="B95" s="21"/>
      <c r="C95" s="568"/>
      <c r="D95" s="569"/>
      <c r="E95" s="569"/>
      <c r="F95" s="569"/>
      <c r="G95" s="570"/>
      <c r="H95" s="912" t="s">
        <v>2604</v>
      </c>
      <c r="I95" s="912"/>
      <c r="J95" s="964" t="s">
        <v>712</v>
      </c>
      <c r="K95" s="965"/>
      <c r="L95" s="966"/>
      <c r="M95" s="919" t="s">
        <v>312</v>
      </c>
      <c r="N95" s="919"/>
      <c r="O95" s="964" t="s">
        <v>712</v>
      </c>
      <c r="P95" s="965"/>
      <c r="Q95" s="966"/>
      <c r="R95" s="1005" t="s">
        <v>314</v>
      </c>
      <c r="S95" s="919"/>
      <c r="T95" s="964" t="s">
        <v>712</v>
      </c>
      <c r="U95" s="965"/>
      <c r="V95" s="985"/>
      <c r="Y95" s="22"/>
    </row>
    <row r="96" spans="2:36" ht="23.25" customHeight="1" x14ac:dyDescent="0.25">
      <c r="B96" s="21"/>
      <c r="C96" s="571" t="s">
        <v>708</v>
      </c>
      <c r="D96" s="9"/>
      <c r="E96" s="9"/>
      <c r="F96" s="9"/>
      <c r="G96" s="9"/>
      <c r="H96" s="976" t="str">
        <f>IF(AND(AI87&lt;&gt;"",J72&lt;&gt;""),IF(AI87&lt;=L72,Paramètres!AP$12,IF(AI87&lt;L72+((J72-L72)/4),Paramètres!AP$11,IF(AI87&lt;L72+2*((J72-L72)/4),Paramètres!AP$10,IF(AI87&lt;L72+3*((J72-L72)/4),Paramètres!AP$9,IF(AI87&lt;=J72,Paramètres!$AP$8,IF(AI87&gt;J72,Paramètres!AP$7,"")))))),"")</f>
        <v/>
      </c>
      <c r="I96" s="899"/>
      <c r="J96" s="967" t="str">
        <f>IF(Paramètres!AL5="","Il n'existe pour le moment qu'une seule échelle de notation.","L'utilisation de la note déterminée avec les anciennes valeurs est acceptée uniquement pour les exploitations déjà certifiées au moment de la mise à jour jusqu'à la fin de la campagne " &amp; Paramètres!AM5 &amp; ". La mise à jour de ces valeurs a été réalisée le  " &amp; Paramètres!AL5 &amp; ".")</f>
        <v>Il n'existe pour le moment qu'une seule échelle de notation.</v>
      </c>
      <c r="K96" s="968"/>
      <c r="L96" s="969"/>
      <c r="M96" s="898" t="str">
        <f>IF(AND(N88&lt;&gt;"",J77&lt;&gt;""),IF(N88&lt;=L77,Paramètres!AR$12,IF(N88&lt;L77+((J77-L77)/4),Paramètres!AR$11,IF(N88&lt;L77+2*((J77-L77)/4),Paramètres!AR$10,IF(N88&lt;L77+3*((J77-L77)/4),Paramètres!AR$9,IF(N88&lt;=J77,Paramètres!AR$8,IF(N88&gt;J77,Paramètres!AR$7,"")))))),"")</f>
        <v/>
      </c>
      <c r="N96" s="899"/>
      <c r="O96" s="967" t="str">
        <f>IF(Paramètres!AL6="","Il n'existe pour le moment qu'une seule échelle de notation.","L'utilisation de la note déterminée avec les anciennes valeurs est acceptée uniquement pour les exploitations déjà certifiées au moment de la mise à jour jusqu'à la fin de la campagne " &amp; Paramètres!AM6 &amp; ". La mise à jour de ces valeurs a été réalisée le  " &amp; Paramètres!AL6 &amp; ".")</f>
        <v>Il n'existe pour le moment qu'une seule échelle de notation.</v>
      </c>
      <c r="P96" s="968"/>
      <c r="Q96" s="969"/>
      <c r="R96" s="898" t="str">
        <f>IF(AND(P88&lt;&gt;"",J81&lt;&gt;""),IF(P88&lt;=L81,Paramètres!AT$12,IF(P88&lt;L81+((J81-L81)/4),Paramètres!AT$11,IF(P88&lt;L81+2*((J81-L81)/4),Paramètres!AT$10,IF(P88&lt;L81+3*((J81-L81)/4),Paramètres!AT$9,IF(P88&lt;=J81,Paramètres!AT$8,IF(P88&gt;J81,Paramètres!AT$7,"")))))),"")</f>
        <v/>
      </c>
      <c r="S96" s="899"/>
      <c r="T96" s="938" t="str">
        <f>IF(Paramètres!AL7="","Il n'existe pour le moment qu'une seule échelle de notation.","L'utilisation de la note déterminée avec les anciennes valeurs est acceptée uniquement pour les exploitations déjà certifiées au moment de la mise à jour jusqu'à la fin de la campagne " &amp; Paramètres!AM7 &amp; ". La mise à jour de ces valeurs a été réalisée le  " &amp; Paramètres!AL7 &amp; ".")</f>
        <v>Il n'existe pour le moment qu'une seule échelle de notation.</v>
      </c>
      <c r="U96" s="939"/>
      <c r="V96" s="940"/>
      <c r="Y96" s="22"/>
    </row>
    <row r="97" spans="2:25" ht="23.25" customHeight="1" x14ac:dyDescent="0.25">
      <c r="B97" s="21"/>
      <c r="C97" s="572" t="s">
        <v>709</v>
      </c>
      <c r="D97" s="202"/>
      <c r="E97" s="202"/>
      <c r="F97" s="202"/>
      <c r="G97" s="202"/>
      <c r="H97" s="976" t="str">
        <f>IF(AND(AI88&lt;&gt;"",J73&lt;&gt;""),IF(AI88&lt;=L73,Paramètres!AP$12,IF(AI88&lt;L73+((J73-L73)/4),Paramètres!AP$11,IF(AI88&lt;L73+2*((J73-L73)/4),Paramètres!AP$10,IF(AI88&lt;L73+3*((J73-L73)/4),Paramètres!AP$9,IF(AI88&lt;=J73,Paramètres!$AP$8,IF(AI88&gt;J73,Paramètres!AP$7,"")))))),"")</f>
        <v/>
      </c>
      <c r="I97" s="899"/>
      <c r="J97" s="970"/>
      <c r="K97" s="971"/>
      <c r="L97" s="972"/>
      <c r="M97" s="898" t="str">
        <f>IF(AND(N89&lt;&gt;"",J78&lt;&gt;""),IF(N89&lt;=L78,Paramètres!AS$12,IF(N89&lt;L78+((J78-L78)/4),Paramètres!AS$11,IF(N89&lt;L78+2*((J78-L78)/4),Paramètres!AS$10,IF(N89&lt;L78+3*((J78-L78)/4),Paramètres!AS$9,IF(N89&lt;=J78,Paramètres!AS$8,IF(N89&gt;J78,Paramètres!AS$7,"")))))),"")</f>
        <v/>
      </c>
      <c r="N97" s="899"/>
      <c r="O97" s="970"/>
      <c r="P97" s="971"/>
      <c r="Q97" s="972"/>
      <c r="R97" s="898" t="str">
        <f>IF(AND(P89&lt;&gt;"",J82&lt;&gt;""),IF(P89&lt;=L82,Paramètres!AU$12,IF(P89&lt;L82+((J82-L82)/4),Paramètres!AU$11,IF(P89&lt;L82+2*((J82-L82)/4),Paramètres!AU$10,IF(P89&lt;L82+3*((J82-L82)/4),Paramètres!AU$9,IF(P89&lt;=J82,Paramètres!AU$8,IF(P89&gt;J82,Paramètres!AU$7,"")))))),"")</f>
        <v/>
      </c>
      <c r="S97" s="899"/>
      <c r="T97" s="941"/>
      <c r="U97" s="942"/>
      <c r="V97" s="943"/>
      <c r="Y97" s="22"/>
    </row>
    <row r="98" spans="2:25" ht="23.25" customHeight="1" x14ac:dyDescent="0.25">
      <c r="B98" s="21"/>
      <c r="C98" s="573" t="s">
        <v>710</v>
      </c>
      <c r="D98" s="203"/>
      <c r="E98" s="203"/>
      <c r="F98" s="203"/>
      <c r="G98" s="203"/>
      <c r="H98" s="900" t="str">
        <f>IF(AND(AI87&lt;&gt;"",N72&lt;&gt;""),IF(AI87&lt;=P72,Paramètres!AP$12,IF(AI87&lt;P72+((N72-P72)/4),Paramètres!AP$11,IF(AI87&lt;P72+2*((N72-P72)/4),Paramètres!AP$10,IF(AI87&lt;P72+3*((N72-P72)/4),Paramètres!AP$9,IF(AI87&lt;=N72,Paramètres!$AP$8,IF(AI87&gt;N72,Paramètres!AP$7,"")))))),"")</f>
        <v/>
      </c>
      <c r="I98" s="901"/>
      <c r="J98" s="970"/>
      <c r="K98" s="971"/>
      <c r="L98" s="972"/>
      <c r="M98" s="900" t="str">
        <f>IF(AND(N88&lt;&gt;"",N77&lt;&gt;""),IF(N88&lt;=P77,Paramètres!AR$12,IF(N88&lt;P77+((N77-P77)/4),Paramètres!AR$11,IF(N88&lt;P77+2*((N77-P77)/4),Paramètres!AR$10,IF(N88&lt;P77+3*((N77-P77)/4),Paramètres!AR$9,IF(N88&lt;=N77,Paramètres!AR$8,IF(N88&gt;N77,Paramètres!AR$7,"")))))),"")</f>
        <v/>
      </c>
      <c r="N98" s="901"/>
      <c r="O98" s="970"/>
      <c r="P98" s="971"/>
      <c r="Q98" s="972"/>
      <c r="R98" s="900" t="str">
        <f>IF(AND(P88&lt;&gt;"",N81&lt;&gt;""),IF(P88&lt;=P81,Paramètres!AT$12,IF(P88&lt;P81+((N81-P81)/4),Paramètres!AT$11,IF(P88&lt;P81+2*((N81-P81)/4),Paramètres!AT$10,IF(P88&lt;P81+3*((N81-P81)/4),Paramètres!AT$9,IF(P88&lt;=N81,Paramètres!AT$8,IF(P88&gt;N81,Paramètres!AT$7,"")))))),"")</f>
        <v/>
      </c>
      <c r="S98" s="901"/>
      <c r="T98" s="941"/>
      <c r="U98" s="942"/>
      <c r="V98" s="943"/>
      <c r="Y98" s="22"/>
    </row>
    <row r="99" spans="2:25" ht="22.5" customHeight="1" thickBot="1" x14ac:dyDescent="0.3">
      <c r="B99" s="21"/>
      <c r="C99" s="574" t="s">
        <v>711</v>
      </c>
      <c r="D99" s="155"/>
      <c r="E99" s="155"/>
      <c r="F99" s="155"/>
      <c r="G99" s="155"/>
      <c r="H99" s="902" t="str">
        <f>IF(AND(AI88&lt;&gt;"",N73&lt;&gt;""),IF(AI88&lt;=P73,Paramètres!AP$12,IF(AI88&lt;P73+((N73-P73)/4),Paramètres!AP$11,IF(AI88&lt;P73+2*((N73-P73)/4),Paramètres!AP$10,IF(AI88&lt;P73+3*((N73-P73)/4),Paramètres!AP$9,IF(AI88&lt;=N73,Paramètres!$AP$8,IF(AI88&gt;N73,Paramètres!AP$7,"")))))),"")</f>
        <v/>
      </c>
      <c r="I99" s="903"/>
      <c r="J99" s="973"/>
      <c r="K99" s="974"/>
      <c r="L99" s="975"/>
      <c r="M99" s="902" t="str">
        <f>IF(AND(N89&lt;&gt;"",N78&lt;&gt;""),IF(N89&lt;=P78,Paramètres!AS$12,IF(N89&lt;P78+((N78-P78)/4),Paramètres!AS$11,IF(N89&lt;P78+2*((N78-P78)/4),Paramètres!AS$10,IF(N89&lt;P78+3*((N78-P78)/4),Paramètres!AS$9,IF(N89&lt;=N78,Paramètres!AS$8,IF(N89&gt;N78,Paramètres!AS$7,"")))))),"")</f>
        <v/>
      </c>
      <c r="N99" s="903"/>
      <c r="O99" s="973"/>
      <c r="P99" s="974"/>
      <c r="Q99" s="975"/>
      <c r="R99" s="902" t="str">
        <f>IF(AND(P89&lt;&gt;"",N82&lt;&gt;""),IF(P89&lt;=P82,Paramètres!AU$12,IF(P89&lt;P82+((N82-P82)/4),Paramètres!AU$11,IF(P89&lt;P82+2*((N82-P82)/4),Paramètres!AU$10,IF(P89&lt;P82+3*((N82-P82)/4),Paramètres!AU$9,IF(P89&lt;=N82,Paramètres!AU$8,IF(P89&gt;N82,Paramètres!AU$7,"")))))),"")</f>
        <v/>
      </c>
      <c r="S99" s="903"/>
      <c r="T99" s="944"/>
      <c r="U99" s="945"/>
      <c r="V99" s="946"/>
      <c r="Y99" s="22"/>
    </row>
    <row r="100" spans="2:25" x14ac:dyDescent="0.25">
      <c r="B100" s="21"/>
      <c r="C100" s="6"/>
      <c r="D100" s="6"/>
      <c r="E100" s="6"/>
      <c r="F100" s="6"/>
      <c r="G100" s="6"/>
      <c r="H100" s="6"/>
      <c r="I100" s="6"/>
      <c r="J100" s="6"/>
      <c r="K100" s="6"/>
      <c r="L100" s="6"/>
      <c r="M100" s="6"/>
      <c r="N100" s="6"/>
      <c r="O100" s="6"/>
      <c r="P100" s="6"/>
      <c r="Q100" s="6"/>
      <c r="R100" s="6"/>
      <c r="S100" s="6"/>
      <c r="T100" s="6"/>
      <c r="U100" s="6"/>
      <c r="V100" s="6"/>
      <c r="W100" s="6"/>
      <c r="X100" s="6"/>
      <c r="Y100" s="22"/>
    </row>
    <row r="101" spans="2:25" s="499" customFormat="1" x14ac:dyDescent="0.25">
      <c r="B101" s="21"/>
      <c r="C101" s="550" t="s">
        <v>2549</v>
      </c>
      <c r="D101" s="56"/>
      <c r="E101" s="56"/>
      <c r="F101" s="56"/>
      <c r="G101" s="56"/>
      <c r="H101" s="56"/>
      <c r="I101" s="56"/>
      <c r="J101" s="56"/>
      <c r="K101" s="56"/>
      <c r="L101" s="56"/>
      <c r="M101" s="56"/>
      <c r="N101" s="56"/>
      <c r="O101" s="56"/>
      <c r="P101" s="56"/>
      <c r="Q101" s="56"/>
      <c r="R101" s="56"/>
      <c r="S101" s="56"/>
      <c r="T101" s="57"/>
      <c r="U101" s="6"/>
      <c r="V101" s="6"/>
      <c r="W101" s="6"/>
      <c r="X101" s="6"/>
      <c r="Y101" s="22"/>
    </row>
    <row r="102" spans="2:25" x14ac:dyDescent="0.25">
      <c r="B102" s="21"/>
      <c r="C102" s="67"/>
      <c r="D102" s="128" t="s">
        <v>713</v>
      </c>
      <c r="E102" s="51"/>
      <c r="F102" s="51"/>
      <c r="G102" s="51"/>
      <c r="H102" s="794" t="s">
        <v>315</v>
      </c>
      <c r="I102" s="795"/>
      <c r="J102" s="65"/>
      <c r="K102" s="51"/>
      <c r="L102" s="406"/>
      <c r="M102" s="794" t="s">
        <v>315</v>
      </c>
      <c r="N102" s="795"/>
      <c r="O102" s="65"/>
      <c r="P102" s="51"/>
      <c r="Q102" s="47"/>
      <c r="R102" s="794" t="s">
        <v>315</v>
      </c>
      <c r="S102" s="795"/>
      <c r="T102" s="59"/>
      <c r="U102" s="173"/>
      <c r="V102" s="6"/>
      <c r="W102" s="6"/>
      <c r="X102" s="6"/>
      <c r="Y102" s="22"/>
    </row>
    <row r="103" spans="2:25" x14ac:dyDescent="0.25">
      <c r="B103" s="21"/>
      <c r="C103" s="61"/>
      <c r="D103" s="44"/>
      <c r="E103" s="44"/>
      <c r="F103" s="44"/>
      <c r="G103" s="44"/>
      <c r="H103" s="44"/>
      <c r="I103" s="44"/>
      <c r="J103" s="44"/>
      <c r="K103" s="549"/>
      <c r="L103" s="549"/>
      <c r="M103" s="549"/>
      <c r="N103" s="549"/>
      <c r="O103" s="44"/>
      <c r="P103" s="44"/>
      <c r="Q103" s="44"/>
      <c r="R103" s="44"/>
      <c r="S103" s="44"/>
      <c r="T103" s="62"/>
      <c r="U103" s="6"/>
      <c r="V103" s="6"/>
      <c r="W103" s="6"/>
      <c r="X103" s="6"/>
      <c r="Y103" s="22"/>
    </row>
    <row r="104" spans="2:25" x14ac:dyDescent="0.25">
      <c r="B104" s="21"/>
      <c r="C104" s="6"/>
      <c r="D104" s="6"/>
      <c r="E104" s="6"/>
      <c r="F104" s="6"/>
      <c r="G104" s="6"/>
      <c r="H104" s="6"/>
      <c r="I104" s="6"/>
      <c r="J104" s="6"/>
      <c r="Q104" s="6"/>
      <c r="R104" s="6"/>
      <c r="S104" s="6"/>
      <c r="T104" s="6"/>
      <c r="U104" s="6"/>
      <c r="V104" s="6"/>
      <c r="W104" s="6"/>
      <c r="X104" s="6"/>
      <c r="Y104" s="22"/>
    </row>
    <row r="105" spans="2:25" x14ac:dyDescent="0.25">
      <c r="B105" s="21"/>
      <c r="C105" s="6"/>
      <c r="D105" s="6"/>
      <c r="E105" s="6"/>
      <c r="F105" s="6"/>
      <c r="G105" s="6"/>
      <c r="H105" s="6"/>
      <c r="I105" s="6"/>
      <c r="J105" s="6"/>
      <c r="K105" s="741" t="s">
        <v>863</v>
      </c>
      <c r="L105" s="741"/>
      <c r="M105" s="741" t="s">
        <v>245</v>
      </c>
      <c r="N105" s="741"/>
      <c r="O105" s="770" t="s">
        <v>723</v>
      </c>
      <c r="P105" s="770"/>
      <c r="Q105" s="6"/>
      <c r="T105" s="6"/>
      <c r="U105" s="6"/>
      <c r="V105" s="6"/>
      <c r="W105" s="6"/>
      <c r="X105" s="6"/>
      <c r="Y105" s="22"/>
    </row>
    <row r="106" spans="2:25" x14ac:dyDescent="0.25">
      <c r="B106" s="21"/>
      <c r="C106" s="6"/>
      <c r="D106" s="86" t="s">
        <v>876</v>
      </c>
      <c r="E106" s="86"/>
      <c r="F106" s="86"/>
      <c r="G106" s="86"/>
      <c r="H106" s="86"/>
      <c r="I106" s="86"/>
      <c r="J106" s="119"/>
      <c r="K106" s="833">
        <f>SUM(Surfaces!O77:O119)+SUM(Surfaces!O127:O128)+Surfaces!O132</f>
        <v>10</v>
      </c>
      <c r="L106" s="1006"/>
      <c r="M106" s="1007">
        <f>IF(cSAU= 0,0,IF(H102="Oui",SUM(H98:I99)*(K106/$K$109),SUM(H96:I97)*(K106/$K$109)))</f>
        <v>0</v>
      </c>
      <c r="N106" s="1008"/>
      <c r="O106" s="771">
        <f>IF(cSAU=0,10,((Paramètres!AP5+Paramètres!AQ5)*K106)/K109)</f>
        <v>10</v>
      </c>
      <c r="P106" s="772"/>
      <c r="T106" s="6"/>
      <c r="U106" s="6"/>
      <c r="V106" s="6"/>
      <c r="W106" s="6"/>
      <c r="X106" s="6"/>
      <c r="Y106" s="22"/>
    </row>
    <row r="107" spans="2:25" x14ac:dyDescent="0.25">
      <c r="B107" s="21"/>
      <c r="C107" s="6"/>
      <c r="D107" s="87" t="s">
        <v>130</v>
      </c>
      <c r="E107" s="87"/>
      <c r="F107" s="87"/>
      <c r="G107" s="87"/>
      <c r="H107" s="87"/>
      <c r="I107" s="87"/>
      <c r="J107" s="120"/>
      <c r="K107" s="833">
        <f>Surfaces!O141</f>
        <v>0</v>
      </c>
      <c r="L107" s="1006"/>
      <c r="M107" s="1007">
        <f>IF(cSAU = 0,0,IF(M102="Oui",SUM(M98:N99)*(K107/$K$109),SUM(M96:N97)*(K107/$K$109)))</f>
        <v>0</v>
      </c>
      <c r="N107" s="1008"/>
      <c r="O107" s="892">
        <f>IF(cSAU=0,10,((Paramètres!AR5+Paramètres!AS5)*K107)/K109)</f>
        <v>0</v>
      </c>
      <c r="P107" s="893"/>
      <c r="Q107" s="6"/>
      <c r="T107" s="6"/>
      <c r="U107" s="6"/>
      <c r="V107" s="6"/>
      <c r="Y107" s="22"/>
    </row>
    <row r="108" spans="2:25" x14ac:dyDescent="0.25">
      <c r="B108" s="21"/>
      <c r="C108" s="6"/>
      <c r="D108" s="184" t="s">
        <v>314</v>
      </c>
      <c r="E108" s="87"/>
      <c r="F108" s="87"/>
      <c r="G108" s="87"/>
      <c r="H108" s="87"/>
      <c r="I108" s="87"/>
      <c r="J108" s="120"/>
      <c r="K108" s="833">
        <f>SUM(Surfaces!O143:O157)</f>
        <v>0</v>
      </c>
      <c r="L108" s="1006"/>
      <c r="M108" s="1007">
        <f>IF(cSAU = 0,0,IF(R102="Oui",SUM(R98:S99)*(K108/$K$109),SUM(R96:S97)*(K108/$K$109)))</f>
        <v>0</v>
      </c>
      <c r="N108" s="1008"/>
      <c r="O108" s="892">
        <f>IF(cSAU=0,6,((Paramètres!AT5+Paramètres!AU5)*K108)/K109)</f>
        <v>0</v>
      </c>
      <c r="P108" s="893"/>
      <c r="Q108" s="6"/>
      <c r="T108" s="6"/>
      <c r="U108" s="6"/>
      <c r="V108" s="6"/>
      <c r="Y108" s="22"/>
    </row>
    <row r="109" spans="2:25" x14ac:dyDescent="0.25">
      <c r="B109" s="21"/>
      <c r="C109" s="6"/>
      <c r="D109" s="184" t="s">
        <v>455</v>
      </c>
      <c r="E109" s="87"/>
      <c r="F109" s="87"/>
      <c r="G109" s="87"/>
      <c r="H109" s="87"/>
      <c r="I109" s="87"/>
      <c r="J109" s="120"/>
      <c r="K109" s="833">
        <f>Surfaces!O24</f>
        <v>10</v>
      </c>
      <c r="L109" s="1006"/>
      <c r="M109" s="6"/>
      <c r="N109" s="6"/>
      <c r="O109" s="6"/>
      <c r="P109" s="6"/>
      <c r="Q109" s="6"/>
      <c r="T109" s="6"/>
      <c r="U109" s="6"/>
      <c r="V109" s="6"/>
      <c r="W109" s="6"/>
      <c r="X109" s="6"/>
      <c r="Y109" s="22"/>
    </row>
    <row r="110" spans="2:25" x14ac:dyDescent="0.25">
      <c r="B110" s="21"/>
      <c r="C110" s="6"/>
      <c r="D110" s="184" t="s">
        <v>394</v>
      </c>
      <c r="E110" s="87"/>
      <c r="F110" s="87"/>
      <c r="G110" s="87"/>
      <c r="H110" s="87"/>
      <c r="I110" s="87"/>
      <c r="J110" s="120"/>
      <c r="K110" s="961">
        <f>IFERROR(SUM(K106:L108)/K109,0)</f>
        <v>1</v>
      </c>
      <c r="L110" s="962"/>
      <c r="M110" s="6"/>
      <c r="N110" s="6"/>
      <c r="O110" s="6"/>
      <c r="P110" s="6"/>
      <c r="Q110" s="6"/>
      <c r="T110" s="6"/>
      <c r="U110" s="6"/>
      <c r="V110" s="6"/>
      <c r="Y110" s="22"/>
    </row>
    <row r="111" spans="2:25" x14ac:dyDescent="0.25">
      <c r="B111" s="21"/>
      <c r="C111" s="6"/>
      <c r="D111" s="184" t="s">
        <v>422</v>
      </c>
      <c r="E111" s="87"/>
      <c r="F111" s="87"/>
      <c r="G111" s="87"/>
      <c r="H111" s="87"/>
      <c r="I111" s="87"/>
      <c r="J111" s="87"/>
      <c r="K111" s="243"/>
      <c r="L111" s="49"/>
      <c r="M111" s="885">
        <f>IF(cSAU = 0,0,IF(cCMR1=0,0,SUM(M106:N108)))</f>
        <v>0</v>
      </c>
      <c r="N111" s="963"/>
      <c r="O111" s="1003">
        <f>IF(cSAU=0,10,SUM(O106:P108))</f>
        <v>10</v>
      </c>
      <c r="P111" s="1004"/>
      <c r="Q111" s="6"/>
      <c r="R111" s="6"/>
      <c r="S111" s="6"/>
      <c r="T111" s="6"/>
      <c r="U111" s="6"/>
      <c r="V111" s="6"/>
      <c r="Y111" s="22"/>
    </row>
    <row r="112" spans="2:25" x14ac:dyDescent="0.25">
      <c r="B112" s="21"/>
      <c r="C112" s="6"/>
      <c r="D112" s="42"/>
      <c r="E112" s="6"/>
      <c r="F112" s="6"/>
      <c r="G112" s="6"/>
      <c r="H112" s="6"/>
      <c r="I112" s="6"/>
      <c r="J112" s="6"/>
      <c r="K112" s="6"/>
      <c r="L112" s="6"/>
      <c r="M112" s="6"/>
      <c r="N112" s="6"/>
      <c r="O112" s="6"/>
      <c r="P112" s="6"/>
      <c r="Q112" s="6"/>
      <c r="R112" s="6"/>
      <c r="S112" s="6"/>
      <c r="T112" s="6"/>
      <c r="U112" s="6"/>
      <c r="V112" s="6"/>
      <c r="Y112" s="22"/>
    </row>
    <row r="113" spans="2:25" x14ac:dyDescent="0.25">
      <c r="B113" s="21"/>
      <c r="C113" s="6"/>
      <c r="D113" s="42"/>
      <c r="E113" s="6"/>
      <c r="F113" s="6"/>
      <c r="G113" s="6"/>
      <c r="H113" s="6"/>
      <c r="I113" s="6"/>
      <c r="J113" s="6"/>
      <c r="K113" s="6"/>
      <c r="L113" s="6"/>
      <c r="M113" s="6"/>
      <c r="N113" s="6"/>
      <c r="O113" s="6"/>
      <c r="P113" s="6"/>
      <c r="Q113" s="6"/>
      <c r="R113" s="6"/>
      <c r="S113" s="6"/>
      <c r="T113" s="6"/>
      <c r="U113" s="6"/>
      <c r="V113" s="6"/>
      <c r="W113" s="6"/>
      <c r="X113" s="6"/>
      <c r="Y113" s="22"/>
    </row>
    <row r="114" spans="2:25" x14ac:dyDescent="0.25">
      <c r="B114" s="21"/>
      <c r="C114" s="6"/>
      <c r="D114" s="102" t="s">
        <v>2532</v>
      </c>
      <c r="E114" s="6"/>
      <c r="F114" s="6"/>
      <c r="G114" s="6"/>
      <c r="H114" s="6"/>
      <c r="I114" s="6"/>
      <c r="J114" s="6"/>
      <c r="K114" s="6"/>
      <c r="L114" s="6"/>
      <c r="M114" s="6"/>
      <c r="N114" s="6"/>
      <c r="O114" s="6"/>
      <c r="P114" s="6"/>
      <c r="Q114" s="6"/>
      <c r="R114" s="6"/>
      <c r="S114" s="6"/>
      <c r="T114" s="6"/>
      <c r="U114" s="6"/>
      <c r="V114" s="6"/>
      <c r="W114" s="6"/>
      <c r="X114" s="6"/>
      <c r="Y114" s="22"/>
    </row>
    <row r="115" spans="2:25" x14ac:dyDescent="0.25">
      <c r="B115" s="21"/>
      <c r="C115" s="6"/>
      <c r="D115" s="757"/>
      <c r="E115" s="758"/>
      <c r="F115" s="758"/>
      <c r="G115" s="758"/>
      <c r="H115" s="758"/>
      <c r="I115" s="758"/>
      <c r="J115" s="758"/>
      <c r="K115" s="758"/>
      <c r="L115" s="758"/>
      <c r="M115" s="758"/>
      <c r="N115" s="758"/>
      <c r="O115" s="758"/>
      <c r="P115" s="758"/>
      <c r="Q115" s="758"/>
      <c r="R115" s="758"/>
      <c r="S115" s="758"/>
      <c r="T115" s="758"/>
      <c r="U115" s="758"/>
      <c r="V115" s="758"/>
      <c r="W115" s="758"/>
      <c r="X115" s="759"/>
      <c r="Y115" s="22"/>
    </row>
    <row r="116" spans="2:25" x14ac:dyDescent="0.25">
      <c r="B116" s="21"/>
      <c r="C116" s="6"/>
      <c r="D116" s="760"/>
      <c r="E116" s="761"/>
      <c r="F116" s="761"/>
      <c r="G116" s="761"/>
      <c r="H116" s="761"/>
      <c r="I116" s="761"/>
      <c r="J116" s="761"/>
      <c r="K116" s="761"/>
      <c r="L116" s="761"/>
      <c r="M116" s="761"/>
      <c r="N116" s="761"/>
      <c r="O116" s="761"/>
      <c r="P116" s="761"/>
      <c r="Q116" s="761"/>
      <c r="R116" s="761"/>
      <c r="S116" s="761"/>
      <c r="T116" s="761"/>
      <c r="U116" s="761"/>
      <c r="V116" s="761"/>
      <c r="W116" s="761"/>
      <c r="X116" s="762"/>
      <c r="Y116" s="22"/>
    </row>
    <row r="117" spans="2:25" x14ac:dyDescent="0.25">
      <c r="B117" s="21"/>
      <c r="C117" s="6"/>
      <c r="D117" s="760"/>
      <c r="E117" s="761"/>
      <c r="F117" s="761"/>
      <c r="G117" s="761"/>
      <c r="H117" s="761"/>
      <c r="I117" s="761"/>
      <c r="J117" s="761"/>
      <c r="K117" s="761"/>
      <c r="L117" s="761"/>
      <c r="M117" s="761"/>
      <c r="N117" s="761"/>
      <c r="O117" s="761"/>
      <c r="P117" s="761"/>
      <c r="Q117" s="761"/>
      <c r="R117" s="761"/>
      <c r="S117" s="761"/>
      <c r="T117" s="761"/>
      <c r="U117" s="761"/>
      <c r="V117" s="761"/>
      <c r="W117" s="761"/>
      <c r="X117" s="762"/>
      <c r="Y117" s="22"/>
    </row>
    <row r="118" spans="2:25" x14ac:dyDescent="0.25">
      <c r="B118" s="21"/>
      <c r="C118" s="6"/>
      <c r="D118" s="760"/>
      <c r="E118" s="761"/>
      <c r="F118" s="761"/>
      <c r="G118" s="761"/>
      <c r="H118" s="761"/>
      <c r="I118" s="761"/>
      <c r="J118" s="761"/>
      <c r="K118" s="761"/>
      <c r="L118" s="761"/>
      <c r="M118" s="761"/>
      <c r="N118" s="761"/>
      <c r="O118" s="761"/>
      <c r="P118" s="761"/>
      <c r="Q118" s="761"/>
      <c r="R118" s="761"/>
      <c r="S118" s="761"/>
      <c r="T118" s="761"/>
      <c r="U118" s="761"/>
      <c r="V118" s="761"/>
      <c r="W118" s="761"/>
      <c r="X118" s="762"/>
      <c r="Y118" s="22"/>
    </row>
    <row r="119" spans="2:25" x14ac:dyDescent="0.25">
      <c r="B119" s="21"/>
      <c r="C119" s="6"/>
      <c r="D119" s="760"/>
      <c r="E119" s="761"/>
      <c r="F119" s="761"/>
      <c r="G119" s="761"/>
      <c r="H119" s="761"/>
      <c r="I119" s="761"/>
      <c r="J119" s="761"/>
      <c r="K119" s="761"/>
      <c r="L119" s="761"/>
      <c r="M119" s="761"/>
      <c r="N119" s="761"/>
      <c r="O119" s="761"/>
      <c r="P119" s="761"/>
      <c r="Q119" s="761"/>
      <c r="R119" s="761"/>
      <c r="S119" s="761"/>
      <c r="T119" s="761"/>
      <c r="U119" s="761"/>
      <c r="V119" s="761"/>
      <c r="W119" s="761"/>
      <c r="X119" s="762"/>
      <c r="Y119" s="22"/>
    </row>
    <row r="120" spans="2:25" x14ac:dyDescent="0.25">
      <c r="B120" s="21"/>
      <c r="C120" s="6"/>
      <c r="D120" s="760"/>
      <c r="E120" s="761"/>
      <c r="F120" s="761"/>
      <c r="G120" s="761"/>
      <c r="H120" s="761"/>
      <c r="I120" s="761"/>
      <c r="J120" s="761"/>
      <c r="K120" s="761"/>
      <c r="L120" s="761"/>
      <c r="M120" s="761"/>
      <c r="N120" s="761"/>
      <c r="O120" s="761"/>
      <c r="P120" s="761"/>
      <c r="Q120" s="761"/>
      <c r="R120" s="761"/>
      <c r="S120" s="761"/>
      <c r="T120" s="761"/>
      <c r="U120" s="761"/>
      <c r="V120" s="761"/>
      <c r="W120" s="761"/>
      <c r="X120" s="762"/>
      <c r="Y120" s="22"/>
    </row>
    <row r="121" spans="2:25" x14ac:dyDescent="0.25">
      <c r="B121" s="21"/>
      <c r="C121" s="6"/>
      <c r="D121" s="760"/>
      <c r="E121" s="761"/>
      <c r="F121" s="761"/>
      <c r="G121" s="761"/>
      <c r="H121" s="761"/>
      <c r="I121" s="761"/>
      <c r="J121" s="761"/>
      <c r="K121" s="761"/>
      <c r="L121" s="761"/>
      <c r="M121" s="761"/>
      <c r="N121" s="761"/>
      <c r="O121" s="761"/>
      <c r="P121" s="761"/>
      <c r="Q121" s="761"/>
      <c r="R121" s="761"/>
      <c r="S121" s="761"/>
      <c r="T121" s="761"/>
      <c r="U121" s="761"/>
      <c r="V121" s="761"/>
      <c r="W121" s="761"/>
      <c r="X121" s="762"/>
      <c r="Y121" s="22"/>
    </row>
    <row r="122" spans="2:25" x14ac:dyDescent="0.25">
      <c r="B122" s="21"/>
      <c r="C122" s="6"/>
      <c r="D122" s="760"/>
      <c r="E122" s="761"/>
      <c r="F122" s="761"/>
      <c r="G122" s="761"/>
      <c r="H122" s="761"/>
      <c r="I122" s="761"/>
      <c r="J122" s="761"/>
      <c r="K122" s="761"/>
      <c r="L122" s="761"/>
      <c r="M122" s="761"/>
      <c r="N122" s="761"/>
      <c r="O122" s="761"/>
      <c r="P122" s="761"/>
      <c r="Q122" s="761"/>
      <c r="R122" s="761"/>
      <c r="S122" s="761"/>
      <c r="T122" s="761"/>
      <c r="U122" s="761"/>
      <c r="V122" s="761"/>
      <c r="W122" s="761"/>
      <c r="X122" s="762"/>
      <c r="Y122" s="22"/>
    </row>
    <row r="123" spans="2:25" x14ac:dyDescent="0.25">
      <c r="B123" s="21"/>
      <c r="C123" s="6"/>
      <c r="D123" s="760"/>
      <c r="E123" s="761"/>
      <c r="F123" s="761"/>
      <c r="G123" s="761"/>
      <c r="H123" s="761"/>
      <c r="I123" s="761"/>
      <c r="J123" s="761"/>
      <c r="K123" s="761"/>
      <c r="L123" s="761"/>
      <c r="M123" s="761"/>
      <c r="N123" s="761"/>
      <c r="O123" s="761"/>
      <c r="P123" s="761"/>
      <c r="Q123" s="761"/>
      <c r="R123" s="761"/>
      <c r="S123" s="761"/>
      <c r="T123" s="761"/>
      <c r="U123" s="761"/>
      <c r="V123" s="761"/>
      <c r="W123" s="761"/>
      <c r="X123" s="762"/>
      <c r="Y123" s="22"/>
    </row>
    <row r="124" spans="2:25" x14ac:dyDescent="0.25">
      <c r="B124" s="21"/>
      <c r="C124" s="6"/>
      <c r="D124" s="763"/>
      <c r="E124" s="764"/>
      <c r="F124" s="764"/>
      <c r="G124" s="764"/>
      <c r="H124" s="764"/>
      <c r="I124" s="764"/>
      <c r="J124" s="764"/>
      <c r="K124" s="764"/>
      <c r="L124" s="764"/>
      <c r="M124" s="764"/>
      <c r="N124" s="764"/>
      <c r="O124" s="764"/>
      <c r="P124" s="764"/>
      <c r="Q124" s="764"/>
      <c r="R124" s="764"/>
      <c r="S124" s="764"/>
      <c r="T124" s="764"/>
      <c r="U124" s="764"/>
      <c r="V124" s="764"/>
      <c r="W124" s="764"/>
      <c r="X124" s="765"/>
      <c r="Y124" s="22"/>
    </row>
    <row r="125" spans="2:25" x14ac:dyDescent="0.25">
      <c r="B125" s="21"/>
      <c r="C125" s="6"/>
      <c r="D125" s="42"/>
      <c r="E125" s="6"/>
      <c r="F125" s="6"/>
      <c r="G125" s="6"/>
      <c r="H125" s="6"/>
      <c r="I125" s="6"/>
      <c r="J125" s="6"/>
      <c r="K125" s="6"/>
      <c r="L125" s="6"/>
      <c r="M125" s="6"/>
      <c r="N125" s="6"/>
      <c r="O125" s="6"/>
      <c r="P125" s="6"/>
      <c r="Q125" s="6"/>
      <c r="R125" s="6"/>
      <c r="S125" s="6"/>
      <c r="T125" s="6"/>
      <c r="U125" s="6"/>
      <c r="V125" s="6"/>
      <c r="W125" s="6"/>
      <c r="X125" s="6"/>
      <c r="Y125" s="22"/>
    </row>
    <row r="126" spans="2:25" ht="15.75" thickBot="1" x14ac:dyDescent="0.3">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6"/>
    </row>
    <row r="127" spans="2:25" x14ac:dyDescent="0.25">
      <c r="B127" s="6"/>
      <c r="C127" s="6"/>
      <c r="D127" s="6"/>
      <c r="E127" s="6"/>
      <c r="F127" s="6"/>
      <c r="G127" s="6"/>
      <c r="H127" s="6"/>
      <c r="I127" s="6"/>
      <c r="J127" s="6"/>
      <c r="K127" s="6"/>
      <c r="L127" s="6"/>
      <c r="M127" s="6"/>
      <c r="N127" s="6"/>
      <c r="O127" s="6"/>
      <c r="P127" s="6"/>
      <c r="Q127" s="6"/>
      <c r="R127" s="6"/>
      <c r="S127" s="6"/>
      <c r="T127" s="6"/>
      <c r="U127" s="6"/>
      <c r="V127" s="6"/>
      <c r="W127" s="6"/>
      <c r="X127" s="6"/>
      <c r="Y127" s="6"/>
    </row>
    <row r="129" spans="2:38" ht="15.75" thickBot="1" x14ac:dyDescent="0.3"/>
    <row r="130" spans="2:38" x14ac:dyDescent="0.25">
      <c r="B130" s="18"/>
      <c r="C130" s="19"/>
      <c r="D130" s="19"/>
      <c r="E130" s="19"/>
      <c r="F130" s="19"/>
      <c r="G130" s="19"/>
      <c r="H130" s="19"/>
      <c r="I130" s="19"/>
      <c r="J130" s="19"/>
      <c r="K130" s="19"/>
      <c r="L130" s="19"/>
      <c r="M130" s="19"/>
      <c r="N130" s="19"/>
      <c r="O130" s="19"/>
      <c r="P130" s="19"/>
      <c r="Q130" s="19"/>
      <c r="R130" s="19"/>
      <c r="S130" s="19"/>
      <c r="T130" s="19"/>
      <c r="U130" s="19"/>
      <c r="V130" s="19"/>
      <c r="W130" s="19"/>
      <c r="X130" s="19"/>
      <c r="Y130" s="20"/>
    </row>
    <row r="131" spans="2:38" s="499" customFormat="1" x14ac:dyDescent="0.25">
      <c r="B131" s="21"/>
      <c r="C131" s="6"/>
      <c r="D131" s="6"/>
      <c r="E131" s="6"/>
      <c r="F131" s="6"/>
      <c r="G131" s="6"/>
      <c r="H131" s="6"/>
      <c r="I131" s="6"/>
      <c r="J131" s="6"/>
      <c r="K131" s="6"/>
      <c r="L131" s="6"/>
      <c r="M131" s="6"/>
      <c r="N131" s="6"/>
      <c r="O131" s="6"/>
      <c r="P131" s="6"/>
      <c r="Q131" s="6"/>
      <c r="R131" s="6"/>
      <c r="S131" s="6"/>
      <c r="T131" s="6"/>
      <c r="U131" s="6"/>
      <c r="V131" s="6"/>
      <c r="W131" s="6"/>
      <c r="X131" s="6"/>
      <c r="Y131" s="22"/>
    </row>
    <row r="132" spans="2:38" s="499" customFormat="1" x14ac:dyDescent="0.25">
      <c r="B132" s="21"/>
      <c r="C132" s="173" t="s">
        <v>2619</v>
      </c>
      <c r="D132" s="6"/>
      <c r="E132" s="6"/>
      <c r="F132" s="6"/>
      <c r="G132" s="6"/>
      <c r="H132" s="6"/>
      <c r="I132" s="6"/>
      <c r="J132" s="6"/>
      <c r="K132" s="6"/>
      <c r="L132" s="6"/>
      <c r="M132" s="6"/>
      <c r="N132" s="6"/>
      <c r="O132" s="6"/>
      <c r="P132" s="6"/>
      <c r="Q132" s="6"/>
      <c r="R132" s="6"/>
      <c r="S132" s="6"/>
      <c r="T132" s="6"/>
      <c r="U132" s="6"/>
      <c r="V132" s="6"/>
      <c r="W132" s="6"/>
      <c r="X132" s="6"/>
      <c r="Y132" s="22"/>
    </row>
    <row r="133" spans="2:38" x14ac:dyDescent="0.25">
      <c r="B133" s="21"/>
      <c r="C133" s="6"/>
      <c r="D133" s="6"/>
      <c r="E133" s="6"/>
      <c r="F133" s="6"/>
      <c r="G133" s="6"/>
      <c r="H133" s="6"/>
      <c r="I133" s="6"/>
      <c r="J133" s="6"/>
      <c r="K133" s="6"/>
      <c r="L133" s="6"/>
      <c r="Q133" s="988" t="s">
        <v>727</v>
      </c>
      <c r="R133" s="988"/>
      <c r="S133" s="958" t="s">
        <v>300</v>
      </c>
      <c r="T133" s="958"/>
      <c r="U133" s="958" t="s">
        <v>299</v>
      </c>
      <c r="V133" s="958"/>
      <c r="W133" s="6"/>
      <c r="X133" s="6"/>
      <c r="Y133" s="22"/>
    </row>
    <row r="134" spans="2:38" x14ac:dyDescent="0.25">
      <c r="B134" s="21"/>
      <c r="C134" s="51" t="str">
        <f>"Substances actives appliquées pendant une campagne sur les surfaces en horticulture et pépinière (" &amp; TEXT(cCampagneN,"0000-00") &amp; ")"</f>
        <v>Substances actives appliquées pendant une campagne sur les surfaces en horticulture et pépinière (N)</v>
      </c>
      <c r="D134" s="51"/>
      <c r="E134" s="51"/>
      <c r="F134" s="51"/>
      <c r="G134" s="51"/>
      <c r="H134" s="51"/>
      <c r="I134" s="51"/>
      <c r="J134" s="51"/>
      <c r="K134" s="51"/>
      <c r="L134" s="51"/>
      <c r="M134" s="51"/>
      <c r="N134" s="51"/>
      <c r="O134" s="51"/>
      <c r="P134" s="47"/>
      <c r="Q134" s="904"/>
      <c r="R134" s="904"/>
      <c r="S134" s="896">
        <f>SUM(Paramètres!Y5:Y25)</f>
        <v>0</v>
      </c>
      <c r="T134" s="896"/>
      <c r="U134" s="896">
        <f>SUM(Paramètres!X5:X25)</f>
        <v>0</v>
      </c>
      <c r="V134" s="896"/>
      <c r="W134" s="6"/>
      <c r="X134" s="6"/>
      <c r="Y134" s="22"/>
    </row>
    <row r="135" spans="2:38" x14ac:dyDescent="0.25">
      <c r="B135" s="21"/>
      <c r="C135" s="51" t="str">
        <f>"Substances actives appliquées pendant une campagne sur les surfaces en horticulture et pépinière (" &amp; cCampagneN1 &amp; ")"</f>
        <v>Substances actives appliquées pendant une campagne sur les surfaces en horticulture et pépinière (N-1)</v>
      </c>
      <c r="D135" s="51"/>
      <c r="E135" s="51"/>
      <c r="F135" s="51"/>
      <c r="G135" s="51"/>
      <c r="H135" s="51"/>
      <c r="I135" s="51"/>
      <c r="J135" s="51"/>
      <c r="K135" s="51"/>
      <c r="L135" s="51"/>
      <c r="M135" s="51"/>
      <c r="N135" s="51"/>
      <c r="O135" s="51"/>
      <c r="P135" s="47"/>
      <c r="Q135" s="904"/>
      <c r="R135" s="904"/>
      <c r="S135" s="896">
        <f>SUM(Paramètres!AC5:AC25)</f>
        <v>0</v>
      </c>
      <c r="T135" s="896"/>
      <c r="U135" s="896">
        <f>SUM(Paramètres!AB5:AB25)</f>
        <v>0</v>
      </c>
      <c r="V135" s="896"/>
      <c r="W135" s="6"/>
      <c r="X135" s="6"/>
      <c r="Y135" s="22"/>
    </row>
    <row r="136" spans="2:38" x14ac:dyDescent="0.25">
      <c r="B136" s="21"/>
      <c r="C136" s="51" t="str">
        <f>"Substances actives appliquées pendant une campagne sur les surfaces en horticulture et pépinière (" &amp; CCampagneN2 &amp; ")"</f>
        <v>Substances actives appliquées pendant une campagne sur les surfaces en horticulture et pépinière (N-2)</v>
      </c>
      <c r="D136" s="51"/>
      <c r="E136" s="51"/>
      <c r="F136" s="51"/>
      <c r="G136" s="51"/>
      <c r="H136" s="51"/>
      <c r="I136" s="51"/>
      <c r="J136" s="51"/>
      <c r="K136" s="51"/>
      <c r="L136" s="51"/>
      <c r="M136" s="51"/>
      <c r="N136" s="51"/>
      <c r="O136" s="51"/>
      <c r="P136" s="47"/>
      <c r="Q136" s="904"/>
      <c r="R136" s="904"/>
      <c r="S136" s="896">
        <f>SUM(Paramètres!AG5:AG25)</f>
        <v>0</v>
      </c>
      <c r="T136" s="896"/>
      <c r="U136" s="896">
        <f>SUM(Paramètres!AF5:AF25)</f>
        <v>0</v>
      </c>
      <c r="V136" s="896"/>
      <c r="W136" s="6"/>
      <c r="X136" s="6"/>
      <c r="Y136" s="22"/>
    </row>
    <row r="137" spans="2:38" x14ac:dyDescent="0.25">
      <c r="B137" s="21"/>
      <c r="C137" s="6"/>
      <c r="D137" s="6"/>
      <c r="E137" s="6"/>
      <c r="F137" s="6"/>
      <c r="G137" s="6"/>
      <c r="H137" s="6"/>
      <c r="I137" s="6"/>
      <c r="J137" s="6"/>
      <c r="K137" s="6"/>
      <c r="L137" s="6"/>
      <c r="M137" s="185"/>
      <c r="N137" s="185"/>
      <c r="O137" s="185"/>
      <c r="P137" s="185"/>
      <c r="Q137" s="538" t="str">
        <f>IF(Q140&lt;&gt;"","Bien saisir les quantités sur " &amp; Q140&amp; " campagne(s), tout comme les surfaces et durées dans l'onglet Surfaces.","")</f>
        <v/>
      </c>
      <c r="R137" s="185"/>
      <c r="S137" s="264"/>
      <c r="U137" s="152"/>
      <c r="V137" s="6"/>
      <c r="W137" s="6"/>
      <c r="X137" s="6"/>
      <c r="Y137" s="22"/>
    </row>
    <row r="138" spans="2:38" x14ac:dyDescent="0.25">
      <c r="B138" s="21"/>
      <c r="C138" s="6"/>
      <c r="D138" s="6"/>
      <c r="E138" s="6"/>
      <c r="F138" s="6"/>
      <c r="G138" s="6"/>
      <c r="H138" s="6"/>
      <c r="I138" s="6"/>
      <c r="J138" s="6"/>
      <c r="K138" s="6"/>
      <c r="L138" s="6"/>
      <c r="M138" s="185"/>
      <c r="N138" s="185"/>
      <c r="O138" s="185"/>
      <c r="P138" s="185"/>
      <c r="Q138" s="185"/>
      <c r="R138" s="185"/>
      <c r="U138" s="6"/>
      <c r="V138" s="6"/>
      <c r="W138" s="6"/>
      <c r="X138" s="6"/>
      <c r="Y138" s="22"/>
    </row>
    <row r="139" spans="2:38" x14ac:dyDescent="0.25">
      <c r="B139" s="21"/>
      <c r="C139" s="6"/>
      <c r="D139" s="6"/>
      <c r="E139" s="6"/>
      <c r="F139" s="6"/>
      <c r="G139" s="6"/>
      <c r="H139" s="6"/>
      <c r="I139" s="6"/>
      <c r="J139" s="6"/>
      <c r="K139" s="6"/>
      <c r="L139" s="6"/>
      <c r="O139" s="185"/>
      <c r="P139" s="185"/>
      <c r="Q139" s="185"/>
      <c r="R139" s="185"/>
      <c r="S139" s="741" t="s">
        <v>245</v>
      </c>
      <c r="T139" s="741"/>
      <c r="U139" s="6"/>
      <c r="V139" s="6"/>
      <c r="W139" s="6"/>
      <c r="X139" s="6"/>
      <c r="Y139" s="22"/>
    </row>
    <row r="140" spans="2:38" x14ac:dyDescent="0.25">
      <c r="B140" s="21"/>
      <c r="C140" s="86" t="s">
        <v>2623</v>
      </c>
      <c r="D140" s="86"/>
      <c r="E140" s="86"/>
      <c r="F140" s="86"/>
      <c r="G140" s="86"/>
      <c r="H140" s="86"/>
      <c r="I140" s="86"/>
      <c r="J140" s="86"/>
      <c r="K140" s="86"/>
      <c r="L140" s="86"/>
      <c r="M140" s="86"/>
      <c r="N140" s="86"/>
      <c r="O140" s="86"/>
      <c r="P140" s="86"/>
      <c r="Q140" s="989" t="str">
        <f>IF(cTypeAudit="","",IF(cTypeAudit="Initial",1,IF(cTypeAudit="Suivi",2,3)))</f>
        <v/>
      </c>
      <c r="R140" s="989"/>
      <c r="T140" s="188" t="str">
        <f>IF(Q140="","Saisir le type de l'audit dans l'onglet Identification","")</f>
        <v>Saisir le type de l'audit dans l'onglet Identification</v>
      </c>
      <c r="U140" s="6"/>
      <c r="V140" s="6"/>
      <c r="W140" s="6"/>
      <c r="X140" s="6"/>
      <c r="Y140" s="22"/>
    </row>
    <row r="141" spans="2:38" x14ac:dyDescent="0.25">
      <c r="B141" s="21"/>
      <c r="C141" s="86" t="str">
        <f>"Quantité totale appliquée sur " &amp; Q140 &amp; " campagne(s)"</f>
        <v>Quantité totale appliquée sur  campagne(s)</v>
      </c>
      <c r="D141" s="86"/>
      <c r="E141" s="86"/>
      <c r="F141" s="86"/>
      <c r="G141" s="86"/>
      <c r="H141" s="86"/>
      <c r="I141" s="86"/>
      <c r="J141" s="86"/>
      <c r="K141" s="86"/>
      <c r="L141" s="86"/>
      <c r="M141" s="44"/>
      <c r="N141" s="44"/>
      <c r="O141" s="218"/>
      <c r="P141" s="44"/>
      <c r="Q141" s="896">
        <f>IF(Q140="",0,IF(Q140=1,Q134,IF(Q140=2,SUM(Q134:R135),SUM(Q134:R136))))</f>
        <v>0</v>
      </c>
      <c r="R141" s="896"/>
      <c r="V141" s="6"/>
      <c r="W141" s="6"/>
      <c r="X141" s="6"/>
      <c r="Y141" s="22"/>
    </row>
    <row r="142" spans="2:38" x14ac:dyDescent="0.25">
      <c r="B142" s="21"/>
      <c r="C142" s="86" t="s">
        <v>733</v>
      </c>
      <c r="D142" s="86"/>
      <c r="E142" s="86"/>
      <c r="F142" s="86"/>
      <c r="G142" s="86"/>
      <c r="H142" s="86"/>
      <c r="I142" s="86"/>
      <c r="J142" s="86"/>
      <c r="K142" s="86"/>
      <c r="L142" s="86"/>
      <c r="M142" s="44"/>
      <c r="N142" s="44"/>
      <c r="O142" s="218"/>
      <c r="P142" s="44"/>
      <c r="Q142" s="878">
        <f>IF(Q140="",0,IF(AND(Surfaces!O195=0,Surfaces!P195=0,Surfaces!Q195=0),0,IF(Q140=1,S134,IF(Q140=2,SUM(S134:T135),SUM(S134:T136)))))</f>
        <v>0</v>
      </c>
      <c r="R142" s="879"/>
      <c r="V142" s="6"/>
      <c r="W142" s="6"/>
      <c r="X142" s="6"/>
      <c r="Y142" s="22"/>
      <c r="AH142" t="s">
        <v>254</v>
      </c>
    </row>
    <row r="143" spans="2:38" x14ac:dyDescent="0.25">
      <c r="B143" s="21"/>
      <c r="C143" s="86" t="s">
        <v>734</v>
      </c>
      <c r="D143" s="86"/>
      <c r="E143" s="86"/>
      <c r="F143" s="86"/>
      <c r="G143" s="86"/>
      <c r="H143" s="86"/>
      <c r="I143" s="86"/>
      <c r="J143" s="86"/>
      <c r="K143" s="86"/>
      <c r="L143" s="86"/>
      <c r="M143" s="44"/>
      <c r="N143" s="44"/>
      <c r="O143" s="218"/>
      <c r="P143" s="44"/>
      <c r="Q143" s="878">
        <f>IF(Q140="",0,IF(AND(Surfaces!O195=0,Surfaces!P195=0,Surfaces!Q195=0),0,IF(Q140=1,U134,IF(Q140=2,SUM(U134:V135),SUM(U134:V136)))))</f>
        <v>0</v>
      </c>
      <c r="R143" s="879"/>
      <c r="V143" s="6"/>
      <c r="W143" s="6"/>
      <c r="X143" s="6"/>
      <c r="Y143" s="22"/>
      <c r="AH143" s="399" t="s">
        <v>747</v>
      </c>
      <c r="AI143" s="387" t="s">
        <v>748</v>
      </c>
      <c r="AJ143" s="387" t="s">
        <v>749</v>
      </c>
      <c r="AK143" s="387" t="s">
        <v>750</v>
      </c>
      <c r="AL143" s="387" t="s">
        <v>751</v>
      </c>
    </row>
    <row r="144" spans="2:38" x14ac:dyDescent="0.25">
      <c r="B144" s="21"/>
      <c r="C144" s="186" t="s">
        <v>731</v>
      </c>
      <c r="D144" s="86"/>
      <c r="E144" s="86"/>
      <c r="F144" s="86"/>
      <c r="G144" s="86"/>
      <c r="H144" s="86"/>
      <c r="I144" s="86"/>
      <c r="J144" s="86"/>
      <c r="K144" s="86"/>
      <c r="L144" s="86"/>
      <c r="M144" s="44"/>
      <c r="N144" s="44"/>
      <c r="O144" s="44"/>
      <c r="P144" s="44"/>
      <c r="Q144" s="44"/>
      <c r="R144" s="49"/>
      <c r="S144" s="894">
        <f>IF(COUNTA(Q134:R136)&gt;=1,IF(cCMR1=0,0,AL144),0)</f>
        <v>0</v>
      </c>
      <c r="T144" s="895"/>
      <c r="U144" s="6"/>
      <c r="V144" s="6"/>
      <c r="Y144" s="22"/>
      <c r="AH144" s="387">
        <f>(Q142-Q143)/4</f>
        <v>0</v>
      </c>
      <c r="AI144" s="387">
        <f>AH144*2</f>
        <v>0</v>
      </c>
      <c r="AJ144" s="387">
        <f>AH144*3</f>
        <v>0</v>
      </c>
      <c r="AK144" s="387">
        <f>AH144*4</f>
        <v>0</v>
      </c>
      <c r="AL144" s="400">
        <f>IF(Q141&lt;Q143,5,IF(AND(Q141&gt;=Q143,Q141&lt;(Q143+AH144)),4,IF(AND(Q141&gt;=(Q143+AH144),Q141&lt;(Q143+AI144)),3,IF(AND(Q141&gt;=(Q143+AI144),Q141&lt;(Q143+AJ144)),2,IF(AND(Q141&gt;=(Q143+AJ144),Q141&lt;Q142),1,0)))))</f>
        <v>0</v>
      </c>
    </row>
    <row r="145" spans="2:25" x14ac:dyDescent="0.25">
      <c r="B145" s="21"/>
      <c r="C145" s="86" t="s">
        <v>2433</v>
      </c>
      <c r="D145" s="86"/>
      <c r="E145" s="86"/>
      <c r="F145" s="86"/>
      <c r="G145" s="86"/>
      <c r="H145" s="86"/>
      <c r="I145" s="86"/>
      <c r="J145" s="86"/>
      <c r="K145" s="86"/>
      <c r="L145" s="86"/>
      <c r="M145" s="44"/>
      <c r="N145" s="44"/>
      <c r="O145" s="44"/>
      <c r="P145" s="44"/>
      <c r="Q145" s="990">
        <f>Surfaces!O195</f>
        <v>0</v>
      </c>
      <c r="R145" s="991"/>
      <c r="U145" s="6"/>
      <c r="V145" s="6"/>
      <c r="W145" s="393"/>
      <c r="X145" s="393"/>
      <c r="Y145" s="22"/>
    </row>
    <row r="146" spans="2:25" x14ac:dyDescent="0.25">
      <c r="B146" s="21"/>
      <c r="C146" s="86" t="s">
        <v>304</v>
      </c>
      <c r="D146" s="86"/>
      <c r="E146" s="86"/>
      <c r="F146" s="86"/>
      <c r="G146" s="86"/>
      <c r="H146" s="86"/>
      <c r="I146" s="86"/>
      <c r="J146" s="86"/>
      <c r="K146" s="86"/>
      <c r="L146" s="86"/>
      <c r="M146" s="44"/>
      <c r="N146" s="44"/>
      <c r="O146" s="44"/>
      <c r="P146" s="44"/>
      <c r="Q146" s="990">
        <f>cSAU</f>
        <v>10</v>
      </c>
      <c r="R146" s="991"/>
      <c r="U146" s="6"/>
      <c r="V146" s="6"/>
      <c r="W146" s="770" t="s">
        <v>723</v>
      </c>
      <c r="X146" s="770"/>
      <c r="Y146" s="22"/>
    </row>
    <row r="147" spans="2:25" x14ac:dyDescent="0.25">
      <c r="B147" s="21"/>
      <c r="C147" s="186" t="s">
        <v>732</v>
      </c>
      <c r="D147" s="86"/>
      <c r="E147" s="86"/>
      <c r="F147" s="86"/>
      <c r="G147" s="86"/>
      <c r="H147" s="86"/>
      <c r="I147" s="86"/>
      <c r="J147" s="86"/>
      <c r="K147" s="86"/>
      <c r="L147" s="86"/>
      <c r="M147" s="44"/>
      <c r="N147" s="44"/>
      <c r="O147" s="44"/>
      <c r="P147" s="44"/>
      <c r="Q147" s="44"/>
      <c r="R147" s="49"/>
      <c r="S147" s="986">
        <f>IFERROR(S144*(Q145/Q146),0)</f>
        <v>0</v>
      </c>
      <c r="T147" s="987"/>
      <c r="U147" s="6"/>
      <c r="V147" s="6"/>
      <c r="W147" s="771">
        <f>IF(cSAU = 0,5,5*(Q145/Q146))</f>
        <v>0</v>
      </c>
      <c r="X147" s="772"/>
      <c r="Y147" s="22"/>
    </row>
    <row r="148" spans="2:25" x14ac:dyDescent="0.25">
      <c r="B148" s="21"/>
      <c r="C148" s="91"/>
      <c r="D148" s="6"/>
      <c r="E148" s="6"/>
      <c r="F148" s="6"/>
      <c r="G148" s="6"/>
      <c r="H148" s="6"/>
      <c r="I148" s="6"/>
      <c r="J148" s="6"/>
      <c r="K148" s="6"/>
      <c r="L148" s="6"/>
      <c r="M148" s="6"/>
      <c r="N148" s="6"/>
      <c r="O148" s="6"/>
      <c r="P148" s="6"/>
      <c r="Q148" s="6"/>
      <c r="R148" s="6"/>
      <c r="S148" s="6"/>
      <c r="T148" s="6"/>
      <c r="U148" s="6"/>
      <c r="V148" s="6"/>
      <c r="W148" s="6"/>
      <c r="X148" s="6"/>
      <c r="Y148" s="22"/>
    </row>
    <row r="149" spans="2:25" x14ac:dyDescent="0.25">
      <c r="B149" s="21"/>
      <c r="C149" s="91"/>
      <c r="D149" s="6"/>
      <c r="E149" s="6"/>
      <c r="F149" s="6"/>
      <c r="G149" s="6"/>
      <c r="H149" s="6"/>
      <c r="I149" s="6"/>
      <c r="J149" s="6"/>
      <c r="K149" s="6"/>
      <c r="L149" s="6"/>
      <c r="M149" s="6"/>
      <c r="N149" s="6"/>
      <c r="O149" s="6"/>
      <c r="P149" s="6"/>
      <c r="Q149" s="6"/>
      <c r="R149" s="6"/>
      <c r="S149" s="6"/>
      <c r="T149" s="6"/>
      <c r="U149" s="6"/>
      <c r="V149" s="6"/>
      <c r="W149" s="6"/>
      <c r="X149" s="6"/>
      <c r="Y149" s="22"/>
    </row>
    <row r="150" spans="2:25" x14ac:dyDescent="0.25">
      <c r="B150" s="21"/>
      <c r="C150" s="102" t="s">
        <v>2532</v>
      </c>
      <c r="D150" s="6"/>
      <c r="E150" s="6"/>
      <c r="F150" s="6"/>
      <c r="G150" s="6"/>
      <c r="H150" s="6"/>
      <c r="I150" s="6"/>
      <c r="J150" s="6"/>
      <c r="K150" s="6"/>
      <c r="L150" s="6"/>
      <c r="M150" s="6"/>
      <c r="N150" s="6"/>
      <c r="O150" s="6"/>
      <c r="P150" s="6"/>
      <c r="Q150" s="6"/>
      <c r="R150" s="6"/>
      <c r="S150" s="6"/>
      <c r="T150" s="6"/>
      <c r="U150" s="6"/>
      <c r="V150" s="6"/>
      <c r="W150" s="6"/>
      <c r="X150" s="6"/>
      <c r="Y150" s="22"/>
    </row>
    <row r="151" spans="2:25" x14ac:dyDescent="0.25">
      <c r="B151" s="21"/>
      <c r="C151" s="757"/>
      <c r="D151" s="758"/>
      <c r="E151" s="758"/>
      <c r="F151" s="758"/>
      <c r="G151" s="758"/>
      <c r="H151" s="758"/>
      <c r="I151" s="758"/>
      <c r="J151" s="758"/>
      <c r="K151" s="758"/>
      <c r="L151" s="758"/>
      <c r="M151" s="758"/>
      <c r="N151" s="758"/>
      <c r="O151" s="758"/>
      <c r="P151" s="758"/>
      <c r="Q151" s="758"/>
      <c r="R151" s="758"/>
      <c r="S151" s="758"/>
      <c r="T151" s="758"/>
      <c r="U151" s="758"/>
      <c r="V151" s="758"/>
      <c r="W151" s="759"/>
      <c r="X151" s="6"/>
      <c r="Y151" s="22"/>
    </row>
    <row r="152" spans="2:25" x14ac:dyDescent="0.25">
      <c r="B152" s="21"/>
      <c r="C152" s="760"/>
      <c r="D152" s="761"/>
      <c r="E152" s="761"/>
      <c r="F152" s="761"/>
      <c r="G152" s="761"/>
      <c r="H152" s="761"/>
      <c r="I152" s="761"/>
      <c r="J152" s="761"/>
      <c r="K152" s="761"/>
      <c r="L152" s="761"/>
      <c r="M152" s="761"/>
      <c r="N152" s="761"/>
      <c r="O152" s="761"/>
      <c r="P152" s="761"/>
      <c r="Q152" s="761"/>
      <c r="R152" s="761"/>
      <c r="S152" s="761"/>
      <c r="T152" s="761"/>
      <c r="U152" s="761"/>
      <c r="V152" s="761"/>
      <c r="W152" s="762"/>
      <c r="X152" s="6"/>
      <c r="Y152" s="22"/>
    </row>
    <row r="153" spans="2:25" x14ac:dyDescent="0.25">
      <c r="B153" s="21"/>
      <c r="C153" s="760"/>
      <c r="D153" s="761"/>
      <c r="E153" s="761"/>
      <c r="F153" s="761"/>
      <c r="G153" s="761"/>
      <c r="H153" s="761"/>
      <c r="I153" s="761"/>
      <c r="J153" s="761"/>
      <c r="K153" s="761"/>
      <c r="L153" s="761"/>
      <c r="M153" s="761"/>
      <c r="N153" s="761"/>
      <c r="O153" s="761"/>
      <c r="P153" s="761"/>
      <c r="Q153" s="761"/>
      <c r="R153" s="761"/>
      <c r="S153" s="761"/>
      <c r="T153" s="761"/>
      <c r="U153" s="761"/>
      <c r="V153" s="761"/>
      <c r="W153" s="762"/>
      <c r="X153" s="6"/>
      <c r="Y153" s="22"/>
    </row>
    <row r="154" spans="2:25" x14ac:dyDescent="0.25">
      <c r="B154" s="21"/>
      <c r="C154" s="760"/>
      <c r="D154" s="761"/>
      <c r="E154" s="761"/>
      <c r="F154" s="761"/>
      <c r="G154" s="761"/>
      <c r="H154" s="761"/>
      <c r="I154" s="761"/>
      <c r="J154" s="761"/>
      <c r="K154" s="761"/>
      <c r="L154" s="761"/>
      <c r="M154" s="761"/>
      <c r="N154" s="761"/>
      <c r="O154" s="761"/>
      <c r="P154" s="761"/>
      <c r="Q154" s="761"/>
      <c r="R154" s="761"/>
      <c r="S154" s="761"/>
      <c r="T154" s="761"/>
      <c r="U154" s="761"/>
      <c r="V154" s="761"/>
      <c r="W154" s="762"/>
      <c r="X154" s="6"/>
      <c r="Y154" s="22"/>
    </row>
    <row r="155" spans="2:25" x14ac:dyDescent="0.25">
      <c r="B155" s="21"/>
      <c r="C155" s="763"/>
      <c r="D155" s="764"/>
      <c r="E155" s="764"/>
      <c r="F155" s="764"/>
      <c r="G155" s="764"/>
      <c r="H155" s="764"/>
      <c r="I155" s="764"/>
      <c r="J155" s="764"/>
      <c r="K155" s="764"/>
      <c r="L155" s="764"/>
      <c r="M155" s="764"/>
      <c r="N155" s="764"/>
      <c r="O155" s="764"/>
      <c r="P155" s="764"/>
      <c r="Q155" s="764"/>
      <c r="R155" s="764"/>
      <c r="S155" s="764"/>
      <c r="T155" s="764"/>
      <c r="U155" s="764"/>
      <c r="V155" s="764"/>
      <c r="W155" s="765"/>
      <c r="X155" s="6"/>
      <c r="Y155" s="22"/>
    </row>
    <row r="156" spans="2:25" ht="15.75" thickBot="1" x14ac:dyDescent="0.3">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26"/>
    </row>
    <row r="159" spans="2:25" ht="15.75" thickBot="1" x14ac:dyDescent="0.3"/>
    <row r="160" spans="2:25" x14ac:dyDescent="0.25">
      <c r="B160" s="18"/>
      <c r="C160" s="19"/>
      <c r="D160" s="19"/>
      <c r="E160" s="19"/>
      <c r="F160" s="19"/>
      <c r="G160" s="19"/>
      <c r="H160" s="19"/>
      <c r="I160" s="19"/>
      <c r="J160" s="19"/>
      <c r="K160" s="19"/>
      <c r="L160" s="19"/>
      <c r="M160" s="19"/>
      <c r="N160" s="19"/>
      <c r="O160" s="19"/>
      <c r="P160" s="19"/>
      <c r="Q160" s="19"/>
      <c r="R160" s="19"/>
      <c r="S160" s="19"/>
      <c r="T160" s="19"/>
      <c r="U160" s="19"/>
      <c r="V160" s="19"/>
      <c r="W160" s="19"/>
      <c r="X160" s="19"/>
      <c r="Y160" s="20"/>
    </row>
    <row r="161" spans="2:25" x14ac:dyDescent="0.25">
      <c r="B161" s="21"/>
      <c r="C161" s="6"/>
      <c r="D161" s="6"/>
      <c r="E161" s="6"/>
      <c r="F161" s="6"/>
      <c r="G161" s="6"/>
      <c r="H161" s="6"/>
      <c r="I161" s="6"/>
      <c r="J161" s="6"/>
      <c r="K161" s="6"/>
      <c r="L161" s="6"/>
      <c r="M161" s="6"/>
      <c r="N161" s="6"/>
      <c r="O161" s="6"/>
      <c r="P161" s="6"/>
      <c r="Q161" s="6"/>
      <c r="R161" s="6"/>
      <c r="S161" s="6"/>
      <c r="T161" s="6"/>
      <c r="U161" s="6"/>
      <c r="V161" s="6"/>
      <c r="W161" s="6"/>
      <c r="X161" s="6"/>
      <c r="Y161" s="22"/>
    </row>
    <row r="162" spans="2:25" x14ac:dyDescent="0.25">
      <c r="B162" s="21"/>
      <c r="C162" s="128" t="s">
        <v>461</v>
      </c>
      <c r="D162" s="51"/>
      <c r="E162" s="51"/>
      <c r="F162" s="51"/>
      <c r="G162" s="51"/>
      <c r="H162" s="51"/>
      <c r="I162" s="51"/>
      <c r="J162" s="51"/>
      <c r="K162" s="51"/>
      <c r="L162" s="51"/>
      <c r="M162" s="51"/>
      <c r="N162" s="51"/>
      <c r="O162" s="51"/>
      <c r="P162" s="51"/>
      <c r="Q162" s="47"/>
      <c r="R162" s="794"/>
      <c r="S162" s="795"/>
      <c r="T162" s="6"/>
      <c r="U162" s="6"/>
      <c r="V162" s="6"/>
      <c r="W162" s="6"/>
      <c r="X162" s="6"/>
      <c r="Y162" s="22"/>
    </row>
    <row r="163" spans="2:25" x14ac:dyDescent="0.25">
      <c r="B163" s="21"/>
      <c r="C163" s="6"/>
      <c r="D163" s="6"/>
      <c r="E163" s="6"/>
      <c r="F163" s="6"/>
      <c r="G163" s="6"/>
      <c r="H163" s="6"/>
      <c r="I163" s="6"/>
      <c r="J163" s="6"/>
      <c r="K163" s="6"/>
      <c r="L163" s="6"/>
      <c r="M163" s="6"/>
      <c r="N163" s="6"/>
      <c r="O163" s="6"/>
      <c r="P163" s="6"/>
      <c r="Q163" s="6"/>
      <c r="R163" s="6"/>
      <c r="S163" s="6"/>
      <c r="T163" s="6"/>
      <c r="U163" s="6"/>
      <c r="V163" s="6"/>
      <c r="W163" s="6"/>
      <c r="X163" s="6"/>
      <c r="Y163" s="22"/>
    </row>
    <row r="164" spans="2:25" x14ac:dyDescent="0.25">
      <c r="B164" s="21"/>
      <c r="C164" s="128" t="s">
        <v>2363</v>
      </c>
      <c r="D164" s="51"/>
      <c r="E164" s="51"/>
      <c r="F164" s="51"/>
      <c r="G164" s="51"/>
      <c r="H164" s="51"/>
      <c r="I164" s="51"/>
      <c r="J164" s="51"/>
      <c r="K164" s="51"/>
      <c r="L164" s="51"/>
      <c r="M164" s="51"/>
      <c r="N164" s="51"/>
      <c r="O164" s="51"/>
      <c r="P164" s="51"/>
      <c r="Q164" s="47"/>
      <c r="R164" s="794"/>
      <c r="S164" s="795"/>
      <c r="T164" s="6"/>
      <c r="U164" s="6"/>
      <c r="V164" s="6"/>
      <c r="W164" s="6"/>
      <c r="X164" s="6"/>
      <c r="Y164" s="22"/>
    </row>
    <row r="165" spans="2:25" x14ac:dyDescent="0.25">
      <c r="B165" s="21"/>
      <c r="C165" s="6"/>
      <c r="D165" s="6"/>
      <c r="E165" s="6"/>
      <c r="F165" s="6"/>
      <c r="G165" s="6"/>
      <c r="H165" s="6"/>
      <c r="I165" s="6"/>
      <c r="J165" s="6"/>
      <c r="K165" s="6"/>
      <c r="L165" s="6"/>
      <c r="M165" s="6"/>
      <c r="N165" s="6"/>
      <c r="O165" s="6"/>
      <c r="P165" s="6"/>
      <c r="Q165" s="6"/>
      <c r="R165" s="6"/>
      <c r="S165" s="6"/>
      <c r="T165" s="6"/>
      <c r="U165" s="6"/>
      <c r="V165" s="6"/>
      <c r="W165" s="6"/>
      <c r="X165" s="6"/>
      <c r="Y165" s="22"/>
    </row>
    <row r="166" spans="2:25" ht="15" customHeight="1" x14ac:dyDescent="0.25">
      <c r="B166" s="21"/>
      <c r="C166" s="756" t="s">
        <v>2550</v>
      </c>
      <c r="D166" s="756"/>
      <c r="E166" s="756"/>
      <c r="F166" s="756"/>
      <c r="G166" s="756"/>
      <c r="H166" s="756"/>
      <c r="I166" s="756"/>
      <c r="J166" s="756"/>
      <c r="K166" s="756"/>
      <c r="L166" s="756"/>
      <c r="M166" s="756"/>
      <c r="N166" s="756"/>
      <c r="O166" s="756"/>
      <c r="P166" s="756"/>
      <c r="Q166" s="756"/>
      <c r="R166" s="6"/>
      <c r="S166" s="6"/>
      <c r="T166" s="6"/>
      <c r="U166" s="477"/>
      <c r="V166" s="477"/>
      <c r="W166" s="477"/>
      <c r="X166" s="477"/>
      <c r="Y166" s="22"/>
    </row>
    <row r="167" spans="2:25" s="499" customFormat="1" x14ac:dyDescent="0.25">
      <c r="B167" s="21"/>
      <c r="C167" s="756"/>
      <c r="D167" s="756"/>
      <c r="E167" s="756"/>
      <c r="F167" s="756"/>
      <c r="G167" s="756"/>
      <c r="H167" s="756"/>
      <c r="I167" s="756"/>
      <c r="J167" s="756"/>
      <c r="K167" s="756"/>
      <c r="L167" s="756"/>
      <c r="M167" s="756"/>
      <c r="N167" s="756"/>
      <c r="O167" s="756"/>
      <c r="P167" s="756"/>
      <c r="Q167" s="756"/>
      <c r="R167" s="6"/>
      <c r="S167" s="6"/>
      <c r="T167" s="6"/>
      <c r="U167" s="477"/>
      <c r="V167" s="477"/>
      <c r="W167" s="477"/>
      <c r="X167" s="477"/>
      <c r="Y167" s="22"/>
    </row>
    <row r="168" spans="2:25" x14ac:dyDescent="0.25">
      <c r="B168" s="21"/>
      <c r="C168" s="6"/>
      <c r="D168" s="124" t="s">
        <v>593</v>
      </c>
      <c r="E168" s="51"/>
      <c r="F168" s="51"/>
      <c r="G168" s="51"/>
      <c r="H168" s="51"/>
      <c r="I168" s="51"/>
      <c r="J168" s="51"/>
      <c r="K168" s="51"/>
      <c r="L168" s="51"/>
      <c r="M168" s="51"/>
      <c r="N168" s="51"/>
      <c r="O168" s="51"/>
      <c r="P168" s="51"/>
      <c r="Q168" s="47"/>
      <c r="R168" s="794"/>
      <c r="S168" s="795"/>
      <c r="T168" s="6"/>
      <c r="U168" s="477"/>
      <c r="V168" s="477"/>
      <c r="W168" s="477"/>
      <c r="X168" s="477"/>
      <c r="Y168" s="22"/>
    </row>
    <row r="169" spans="2:25" x14ac:dyDescent="0.25">
      <c r="B169" s="21"/>
      <c r="C169" s="6"/>
      <c r="D169" s="165"/>
      <c r="E169" s="51" t="s">
        <v>594</v>
      </c>
      <c r="F169" s="51"/>
      <c r="G169" s="51"/>
      <c r="H169" s="51"/>
      <c r="I169" s="51"/>
      <c r="J169" s="51"/>
      <c r="K169" s="51"/>
      <c r="L169" s="51"/>
      <c r="M169" s="51"/>
      <c r="N169" s="51"/>
      <c r="O169" s="51"/>
      <c r="P169" s="51"/>
      <c r="Q169" s="47"/>
      <c r="R169" s="882"/>
      <c r="S169" s="883"/>
      <c r="T169" s="173" t="str">
        <f>IF(R169&gt;R170,"Attention : surface saisie &gt; surface totale en cultures annuelles","")</f>
        <v/>
      </c>
      <c r="U169" s="477"/>
      <c r="V169" s="477"/>
      <c r="W169" s="477"/>
      <c r="X169" s="477"/>
      <c r="Y169" s="22"/>
    </row>
    <row r="170" spans="2:25" x14ac:dyDescent="0.25">
      <c r="B170" s="21"/>
      <c r="C170" s="6"/>
      <c r="D170" s="6"/>
      <c r="E170" s="51" t="s">
        <v>419</v>
      </c>
      <c r="F170" s="51"/>
      <c r="G170" s="51"/>
      <c r="H170" s="51"/>
      <c r="I170" s="51"/>
      <c r="J170" s="51"/>
      <c r="K170" s="51"/>
      <c r="L170" s="51"/>
      <c r="M170" s="51"/>
      <c r="N170" s="51"/>
      <c r="O170" s="51"/>
      <c r="P170" s="51"/>
      <c r="Q170" s="47"/>
      <c r="R170" s="878">
        <f>SUM(Surfaces!O132:O136)+Surfaces!O101+SUM(Surfaces!O87:O90)+SUM(Surfaces!O77:O83)+SUM(Surfaces!O94:O97)+SUM(Surfaces!O109:O111)+SUM(Surfaces!O127:O128)</f>
        <v>10</v>
      </c>
      <c r="S170" s="888"/>
      <c r="T170" s="6"/>
      <c r="U170" s="477"/>
      <c r="V170" s="477"/>
      <c r="W170" s="477"/>
      <c r="X170" s="477"/>
      <c r="Y170" s="22"/>
    </row>
    <row r="171" spans="2:25" x14ac:dyDescent="0.25">
      <c r="B171" s="21"/>
      <c r="C171" s="6"/>
      <c r="D171" s="6"/>
      <c r="E171" s="51" t="s">
        <v>420</v>
      </c>
      <c r="F171" s="51"/>
      <c r="G171" s="51"/>
      <c r="H171" s="51"/>
      <c r="I171" s="51"/>
      <c r="J171" s="51"/>
      <c r="K171" s="51"/>
      <c r="L171" s="51"/>
      <c r="M171" s="51"/>
      <c r="N171" s="51"/>
      <c r="O171" s="51"/>
      <c r="P171" s="51"/>
      <c r="Q171" s="47"/>
      <c r="R171" s="874">
        <f>IFERROR(R169/R170,0)</f>
        <v>0</v>
      </c>
      <c r="S171" s="875"/>
      <c r="T171" s="6"/>
      <c r="U171" s="477"/>
      <c r="V171" s="477"/>
      <c r="W171" s="477"/>
      <c r="X171" s="477"/>
      <c r="Y171" s="22"/>
    </row>
    <row r="172" spans="2:25" x14ac:dyDescent="0.25">
      <c r="B172" s="21"/>
      <c r="C172" s="6"/>
      <c r="D172" s="6"/>
      <c r="E172" s="165"/>
      <c r="F172" s="165"/>
      <c r="G172" s="165"/>
      <c r="H172" s="165"/>
      <c r="I172" s="165"/>
      <c r="J172" s="165"/>
      <c r="K172" s="165"/>
      <c r="L172" s="165"/>
      <c r="M172" s="165"/>
      <c r="N172" s="165"/>
      <c r="O172" s="165"/>
      <c r="P172" s="165"/>
      <c r="Q172" s="165"/>
      <c r="R172" s="135"/>
      <c r="S172" s="135"/>
      <c r="T172" s="6"/>
      <c r="U172" s="477"/>
      <c r="V172" s="477"/>
      <c r="W172" s="477"/>
      <c r="X172" s="477"/>
      <c r="Y172" s="22"/>
    </row>
    <row r="173" spans="2:25" x14ac:dyDescent="0.25">
      <c r="B173" s="21"/>
      <c r="C173" s="6"/>
      <c r="D173" s="124" t="s">
        <v>595</v>
      </c>
      <c r="E173" s="51"/>
      <c r="F173" s="51"/>
      <c r="G173" s="51"/>
      <c r="H173" s="51"/>
      <c r="I173" s="51"/>
      <c r="J173" s="51"/>
      <c r="K173" s="51"/>
      <c r="L173" s="51"/>
      <c r="M173" s="51"/>
      <c r="N173" s="51"/>
      <c r="O173" s="51"/>
      <c r="P173" s="51"/>
      <c r="Q173" s="47"/>
      <c r="R173" s="794"/>
      <c r="S173" s="795"/>
      <c r="T173" s="6"/>
      <c r="U173" s="477"/>
      <c r="V173" s="477"/>
      <c r="W173" s="477"/>
      <c r="X173" s="477"/>
      <c r="Y173" s="22"/>
    </row>
    <row r="174" spans="2:25" x14ac:dyDescent="0.25">
      <c r="B174" s="21"/>
      <c r="C174" s="6"/>
      <c r="D174" s="6"/>
      <c r="E174" s="51" t="s">
        <v>596</v>
      </c>
      <c r="F174" s="51"/>
      <c r="G174" s="51"/>
      <c r="H174" s="51"/>
      <c r="I174" s="51"/>
      <c r="J174" s="51"/>
      <c r="K174" s="51"/>
      <c r="L174" s="51"/>
      <c r="M174" s="51"/>
      <c r="N174" s="51"/>
      <c r="O174" s="51"/>
      <c r="P174" s="51"/>
      <c r="Q174" s="47"/>
      <c r="R174" s="882"/>
      <c r="S174" s="883"/>
      <c r="T174" s="173" t="str">
        <f>IF(R174&gt;R175,"Attention : surface saisie &gt; surface totale en cultures pérennes","")</f>
        <v/>
      </c>
      <c r="U174" s="477"/>
      <c r="V174" s="477"/>
      <c r="W174" s="477"/>
      <c r="X174" s="477"/>
      <c r="Y174" s="22"/>
    </row>
    <row r="175" spans="2:25" x14ac:dyDescent="0.25">
      <c r="B175" s="21"/>
      <c r="C175" s="6"/>
      <c r="D175" s="6"/>
      <c r="E175" s="51" t="s">
        <v>421</v>
      </c>
      <c r="F175" s="51"/>
      <c r="G175" s="51"/>
      <c r="H175" s="51"/>
      <c r="I175" s="51"/>
      <c r="J175" s="51"/>
      <c r="K175" s="51"/>
      <c r="L175" s="51"/>
      <c r="M175" s="51"/>
      <c r="N175" s="51"/>
      <c r="O175" s="51"/>
      <c r="P175" s="51"/>
      <c r="Q175" s="47"/>
      <c r="R175" s="878">
        <f>Surfaces!O141+SUM(Surfaces!O143:O157)+Surfaces!O159</f>
        <v>0</v>
      </c>
      <c r="S175" s="888"/>
      <c r="T175" s="6"/>
      <c r="U175" s="477"/>
      <c r="V175" s="477"/>
      <c r="W175" s="477"/>
      <c r="X175" s="477"/>
      <c r="Y175" s="22"/>
    </row>
    <row r="176" spans="2:25" x14ac:dyDescent="0.25">
      <c r="B176" s="21"/>
      <c r="C176" s="6"/>
      <c r="D176" s="6"/>
      <c r="E176" s="51" t="s">
        <v>420</v>
      </c>
      <c r="F176" s="51"/>
      <c r="G176" s="51"/>
      <c r="H176" s="51"/>
      <c r="I176" s="51"/>
      <c r="J176" s="51"/>
      <c r="K176" s="51"/>
      <c r="L176" s="51"/>
      <c r="M176" s="51"/>
      <c r="N176" s="51"/>
      <c r="O176" s="51"/>
      <c r="P176" s="51"/>
      <c r="Q176" s="47"/>
      <c r="R176" s="874">
        <f>IFERROR(R174/R175,0)</f>
        <v>0</v>
      </c>
      <c r="S176" s="875"/>
      <c r="T176" s="6"/>
      <c r="U176" s="477"/>
      <c r="V176" s="477"/>
      <c r="W176" s="477"/>
      <c r="X176" s="477"/>
      <c r="Y176" s="22"/>
    </row>
    <row r="177" spans="2:25" x14ac:dyDescent="0.25">
      <c r="B177" s="21"/>
      <c r="C177" s="6"/>
      <c r="D177" s="6"/>
      <c r="E177" s="6"/>
      <c r="F177" s="6"/>
      <c r="G177" s="6"/>
      <c r="H177" s="6"/>
      <c r="I177" s="6"/>
      <c r="J177" s="6"/>
      <c r="K177" s="6"/>
      <c r="L177" s="6"/>
      <c r="M177" s="6"/>
      <c r="N177" s="6"/>
      <c r="O177" s="6"/>
      <c r="P177" s="6"/>
      <c r="Q177" s="6"/>
      <c r="R177" s="6"/>
      <c r="S177" s="6"/>
      <c r="T177" s="6"/>
      <c r="U177" s="477"/>
      <c r="V177" s="477"/>
      <c r="W177" s="477"/>
      <c r="X177" s="477"/>
      <c r="Y177" s="22"/>
    </row>
    <row r="178" spans="2:25" s="499" customFormat="1" x14ac:dyDescent="0.25">
      <c r="B178" s="21"/>
      <c r="C178" s="960" t="s">
        <v>2434</v>
      </c>
      <c r="D178" s="960"/>
      <c r="E178" s="960"/>
      <c r="F178" s="960"/>
      <c r="G178" s="960"/>
      <c r="H178" s="960"/>
      <c r="I178" s="960"/>
      <c r="J178" s="960"/>
      <c r="K178" s="960"/>
      <c r="L178" s="960"/>
      <c r="M178" s="960"/>
      <c r="N178" s="960"/>
      <c r="O178" s="960"/>
      <c r="P178" s="960"/>
      <c r="Q178" s="960"/>
      <c r="R178" s="960"/>
      <c r="S178" s="960"/>
      <c r="T178" s="960"/>
      <c r="U178" s="960"/>
      <c r="V178" s="960"/>
      <c r="W178" s="960"/>
      <c r="X178" s="960"/>
      <c r="Y178" s="22"/>
    </row>
    <row r="179" spans="2:25" s="499" customFormat="1" x14ac:dyDescent="0.25">
      <c r="B179" s="21"/>
      <c r="C179" s="960"/>
      <c r="D179" s="960"/>
      <c r="E179" s="960"/>
      <c r="F179" s="960"/>
      <c r="G179" s="960"/>
      <c r="H179" s="960"/>
      <c r="I179" s="960"/>
      <c r="J179" s="960"/>
      <c r="K179" s="960"/>
      <c r="L179" s="960"/>
      <c r="M179" s="960"/>
      <c r="N179" s="960"/>
      <c r="O179" s="960"/>
      <c r="P179" s="960"/>
      <c r="Q179" s="960"/>
      <c r="R179" s="960"/>
      <c r="S179" s="960"/>
      <c r="T179" s="960"/>
      <c r="U179" s="960"/>
      <c r="V179" s="960"/>
      <c r="W179" s="960"/>
      <c r="X179" s="960"/>
      <c r="Y179" s="22"/>
    </row>
    <row r="180" spans="2:25" s="499" customFormat="1" x14ac:dyDescent="0.25">
      <c r="B180" s="21"/>
      <c r="C180" s="6"/>
      <c r="D180" s="6"/>
      <c r="E180" s="6"/>
      <c r="F180" s="6"/>
      <c r="G180" s="6"/>
      <c r="H180" s="6"/>
      <c r="I180" s="6"/>
      <c r="J180" s="6"/>
      <c r="K180" s="6"/>
      <c r="L180" s="6"/>
      <c r="M180" s="6"/>
      <c r="N180" s="6"/>
      <c r="O180" s="6"/>
      <c r="P180" s="6"/>
      <c r="Q180" s="6"/>
      <c r="R180" s="6"/>
      <c r="S180" s="6"/>
      <c r="T180" s="6"/>
      <c r="U180" s="477"/>
      <c r="V180" s="477"/>
      <c r="W180" s="477"/>
      <c r="X180" s="477"/>
      <c r="Y180" s="22"/>
    </row>
    <row r="181" spans="2:25" x14ac:dyDescent="0.25">
      <c r="B181" s="21"/>
      <c r="C181" s="6"/>
      <c r="D181" s="6" t="s">
        <v>598</v>
      </c>
      <c r="E181" s="6"/>
      <c r="F181" s="6"/>
      <c r="G181" s="6"/>
      <c r="H181" s="6"/>
      <c r="I181" s="6"/>
      <c r="J181" s="6"/>
      <c r="K181" s="6"/>
      <c r="L181" s="6"/>
      <c r="M181" s="6"/>
      <c r="N181" s="6"/>
      <c r="O181" s="6"/>
      <c r="P181" s="6"/>
      <c r="Q181" s="6"/>
      <c r="R181" s="874">
        <f>IFERROR((IF(R168="Non",0,R169)+IF(R173="Non",0,R174))/Surfaces!O24,0)</f>
        <v>0</v>
      </c>
      <c r="S181" s="875"/>
      <c r="T181" s="6"/>
      <c r="U181" s="477"/>
      <c r="V181" s="477"/>
      <c r="W181" s="477"/>
      <c r="X181" s="477"/>
      <c r="Y181" s="22"/>
    </row>
    <row r="182" spans="2:25" x14ac:dyDescent="0.25">
      <c r="B182" s="21"/>
      <c r="C182" s="6"/>
      <c r="D182" s="6"/>
      <c r="E182" s="6"/>
      <c r="F182" s="6"/>
      <c r="G182" s="6"/>
      <c r="H182" s="6"/>
      <c r="I182" s="6"/>
      <c r="J182" s="6"/>
      <c r="K182" s="6"/>
      <c r="L182" s="6"/>
      <c r="M182" s="6"/>
      <c r="N182" s="6"/>
      <c r="O182" s="6"/>
      <c r="P182" s="6"/>
      <c r="Q182" s="6"/>
      <c r="R182" s="166"/>
      <c r="S182" s="166"/>
      <c r="T182" s="6"/>
      <c r="U182" s="6"/>
      <c r="V182" s="6"/>
      <c r="W182" s="6"/>
      <c r="X182" s="6"/>
      <c r="Y182" s="22"/>
    </row>
    <row r="183" spans="2:25" x14ac:dyDescent="0.25">
      <c r="B183" s="21"/>
      <c r="C183" s="46"/>
      <c r="D183" s="6"/>
      <c r="E183" s="6"/>
      <c r="F183" s="6"/>
      <c r="G183" s="6"/>
      <c r="J183" s="6"/>
      <c r="K183" s="6"/>
      <c r="L183" s="6"/>
      <c r="M183" s="6"/>
      <c r="N183" s="6"/>
      <c r="O183" s="6"/>
      <c r="P183" s="6"/>
      <c r="Q183" s="6"/>
      <c r="R183" s="741" t="s">
        <v>245</v>
      </c>
      <c r="S183" s="741"/>
      <c r="T183" s="42"/>
      <c r="U183" s="6"/>
      <c r="V183" s="6"/>
      <c r="W183" s="6"/>
      <c r="X183" s="6"/>
      <c r="Y183" s="22"/>
    </row>
    <row r="184" spans="2:25" x14ac:dyDescent="0.25">
      <c r="B184" s="21"/>
      <c r="C184" s="6"/>
      <c r="D184" s="86" t="s">
        <v>316</v>
      </c>
      <c r="E184" s="86"/>
      <c r="F184" s="86"/>
      <c r="G184" s="86"/>
      <c r="H184" s="44"/>
      <c r="I184" s="44"/>
      <c r="J184" s="44"/>
      <c r="K184" s="44"/>
      <c r="L184" s="44"/>
      <c r="M184" s="44"/>
      <c r="N184" s="44"/>
      <c r="O184" s="44"/>
      <c r="P184" s="44"/>
      <c r="Q184" s="49"/>
      <c r="R184" s="894">
        <f>IFERROR(IF(R162="Oui",1,0),0)</f>
        <v>0</v>
      </c>
      <c r="S184" s="895"/>
      <c r="T184" s="6"/>
      <c r="U184" s="6"/>
      <c r="V184" s="6"/>
      <c r="W184" s="6"/>
      <c r="X184" s="6"/>
      <c r="Y184" s="22"/>
    </row>
    <row r="185" spans="2:25" x14ac:dyDescent="0.25">
      <c r="B185" s="21"/>
      <c r="C185" s="6"/>
      <c r="D185" s="87" t="s">
        <v>317</v>
      </c>
      <c r="E185" s="87"/>
      <c r="F185" s="87"/>
      <c r="G185" s="87"/>
      <c r="H185" s="88"/>
      <c r="I185" s="88"/>
      <c r="J185" s="88"/>
      <c r="K185" s="88"/>
      <c r="L185" s="88"/>
      <c r="M185" s="88"/>
      <c r="N185" s="88"/>
      <c r="O185" s="88"/>
      <c r="P185" s="88"/>
      <c r="Q185" s="89"/>
      <c r="R185" s="894">
        <f>IFERROR(IF(R164="Oui",1,0),0)</f>
        <v>0</v>
      </c>
      <c r="S185" s="895"/>
      <c r="T185" s="6"/>
      <c r="U185" s="6"/>
      <c r="V185" s="6"/>
      <c r="W185" s="6"/>
      <c r="X185" s="6"/>
      <c r="Y185" s="22"/>
    </row>
    <row r="186" spans="2:25" x14ac:dyDescent="0.25">
      <c r="B186" s="21"/>
      <c r="C186" s="6"/>
      <c r="D186" s="87" t="s">
        <v>597</v>
      </c>
      <c r="E186" s="87"/>
      <c r="F186" s="87"/>
      <c r="G186" s="87"/>
      <c r="H186" s="88"/>
      <c r="I186" s="88"/>
      <c r="J186" s="88"/>
      <c r="K186" s="88"/>
      <c r="L186" s="88"/>
      <c r="M186" s="88"/>
      <c r="N186" s="88"/>
      <c r="O186" s="88"/>
      <c r="P186" s="88"/>
      <c r="Q186" s="89"/>
      <c r="R186" s="894">
        <f>IFERROR(IF(OR(R171&gt;=0.5,R176&gt;=0.75),2*R181,0),0)</f>
        <v>0</v>
      </c>
      <c r="S186" s="895"/>
      <c r="T186" s="6"/>
      <c r="U186" s="6"/>
      <c r="V186" s="6"/>
      <c r="W186" s="770" t="s">
        <v>723</v>
      </c>
      <c r="X186" s="770"/>
      <c r="Y186" s="22"/>
    </row>
    <row r="187" spans="2:25" x14ac:dyDescent="0.25">
      <c r="B187" s="21"/>
      <c r="C187" s="6"/>
      <c r="D187" s="184" t="s">
        <v>422</v>
      </c>
      <c r="E187" s="87"/>
      <c r="F187" s="87"/>
      <c r="G187" s="87"/>
      <c r="H187" s="88"/>
      <c r="I187" s="88"/>
      <c r="J187" s="88"/>
      <c r="K187" s="88"/>
      <c r="L187" s="88"/>
      <c r="M187" s="88"/>
      <c r="N187" s="88"/>
      <c r="O187" s="88"/>
      <c r="P187" s="88"/>
      <c r="Q187" s="89"/>
      <c r="R187" s="986">
        <f>IF(cCMR1&gt;0,MIN(SUM(R184:S186),3),0)</f>
        <v>0</v>
      </c>
      <c r="S187" s="987"/>
      <c r="T187" s="6"/>
      <c r="U187" s="6"/>
      <c r="V187" s="6"/>
      <c r="W187" s="890">
        <v>3</v>
      </c>
      <c r="X187" s="891"/>
      <c r="Y187" s="22"/>
    </row>
    <row r="188" spans="2:25" x14ac:dyDescent="0.25">
      <c r="B188" s="21"/>
      <c r="C188" s="6"/>
      <c r="D188" s="91"/>
      <c r="E188" s="70"/>
      <c r="F188" s="70"/>
      <c r="G188" s="70"/>
      <c r="H188" s="6"/>
      <c r="I188" s="6"/>
      <c r="J188" s="6"/>
      <c r="K188" s="6"/>
      <c r="L188" s="6"/>
      <c r="M188" s="6"/>
      <c r="N188" s="6"/>
      <c r="O188" s="6"/>
      <c r="P188" s="6"/>
      <c r="Q188" s="6"/>
      <c r="R188" s="480"/>
      <c r="S188" s="480"/>
      <c r="T188" s="42"/>
      <c r="U188" s="42"/>
      <c r="V188" s="42"/>
      <c r="W188" s="156"/>
      <c r="X188" s="156"/>
      <c r="Y188" s="22"/>
    </row>
    <row r="189" spans="2:25" x14ac:dyDescent="0.25">
      <c r="B189" s="21"/>
      <c r="C189" s="6"/>
      <c r="D189" s="91"/>
      <c r="E189" s="70"/>
      <c r="F189" s="70"/>
      <c r="G189" s="70"/>
      <c r="H189" s="6"/>
      <c r="I189" s="6"/>
      <c r="J189" s="6"/>
      <c r="K189" s="6"/>
      <c r="L189" s="6"/>
      <c r="M189" s="6"/>
      <c r="N189" s="6"/>
      <c r="O189" s="6"/>
      <c r="P189" s="6"/>
      <c r="Q189" s="6"/>
      <c r="R189" s="480"/>
      <c r="S189" s="480"/>
      <c r="T189" s="42"/>
      <c r="U189" s="42"/>
      <c r="V189" s="42"/>
      <c r="W189" s="156"/>
      <c r="X189" s="156"/>
      <c r="Y189" s="22"/>
    </row>
    <row r="190" spans="2:25" x14ac:dyDescent="0.25">
      <c r="B190" s="21"/>
      <c r="C190" s="6"/>
      <c r="D190" s="102" t="s">
        <v>2532</v>
      </c>
      <c r="E190" s="6"/>
      <c r="F190" s="6"/>
      <c r="G190" s="6"/>
      <c r="H190" s="6"/>
      <c r="I190" s="6"/>
      <c r="J190" s="6"/>
      <c r="K190" s="6"/>
      <c r="L190" s="6"/>
      <c r="M190" s="6"/>
      <c r="N190" s="6"/>
      <c r="O190" s="6"/>
      <c r="P190" s="6"/>
      <c r="Q190" s="6"/>
      <c r="R190" s="6"/>
      <c r="S190" s="6"/>
      <c r="T190" s="6"/>
      <c r="U190" s="6"/>
      <c r="V190" s="6"/>
      <c r="W190" s="6"/>
      <c r="X190" s="6"/>
      <c r="Y190" s="22"/>
    </row>
    <row r="191" spans="2:25" x14ac:dyDescent="0.25">
      <c r="B191" s="21"/>
      <c r="C191" s="6"/>
      <c r="D191" s="757"/>
      <c r="E191" s="758"/>
      <c r="F191" s="758"/>
      <c r="G191" s="758"/>
      <c r="H191" s="758"/>
      <c r="I191" s="758"/>
      <c r="J191" s="758"/>
      <c r="K191" s="758"/>
      <c r="L191" s="758"/>
      <c r="M191" s="758"/>
      <c r="N191" s="758"/>
      <c r="O191" s="758"/>
      <c r="P191" s="758"/>
      <c r="Q191" s="758"/>
      <c r="R191" s="758"/>
      <c r="S191" s="758"/>
      <c r="T191" s="758"/>
      <c r="U191" s="758"/>
      <c r="V191" s="758"/>
      <c r="W191" s="758"/>
      <c r="X191" s="759"/>
      <c r="Y191" s="22"/>
    </row>
    <row r="192" spans="2:25" x14ac:dyDescent="0.25">
      <c r="B192" s="21"/>
      <c r="C192" s="6"/>
      <c r="D192" s="760"/>
      <c r="E192" s="761"/>
      <c r="F192" s="761"/>
      <c r="G192" s="761"/>
      <c r="H192" s="761"/>
      <c r="I192" s="761"/>
      <c r="J192" s="761"/>
      <c r="K192" s="761"/>
      <c r="L192" s="761"/>
      <c r="M192" s="761"/>
      <c r="N192" s="761"/>
      <c r="O192" s="761"/>
      <c r="P192" s="761"/>
      <c r="Q192" s="761"/>
      <c r="R192" s="761"/>
      <c r="S192" s="761"/>
      <c r="T192" s="761"/>
      <c r="U192" s="761"/>
      <c r="V192" s="761"/>
      <c r="W192" s="761"/>
      <c r="X192" s="762"/>
      <c r="Y192" s="22"/>
    </row>
    <row r="193" spans="2:25" x14ac:dyDescent="0.25">
      <c r="B193" s="21"/>
      <c r="C193" s="6"/>
      <c r="D193" s="760"/>
      <c r="E193" s="761"/>
      <c r="F193" s="761"/>
      <c r="G193" s="761"/>
      <c r="H193" s="761"/>
      <c r="I193" s="761"/>
      <c r="J193" s="761"/>
      <c r="K193" s="761"/>
      <c r="L193" s="761"/>
      <c r="M193" s="761"/>
      <c r="N193" s="761"/>
      <c r="O193" s="761"/>
      <c r="P193" s="761"/>
      <c r="Q193" s="761"/>
      <c r="R193" s="761"/>
      <c r="S193" s="761"/>
      <c r="T193" s="761"/>
      <c r="U193" s="761"/>
      <c r="V193" s="761"/>
      <c r="W193" s="761"/>
      <c r="X193" s="762"/>
      <c r="Y193" s="22"/>
    </row>
    <row r="194" spans="2:25" x14ac:dyDescent="0.25">
      <c r="B194" s="21"/>
      <c r="C194" s="6"/>
      <c r="D194" s="760"/>
      <c r="E194" s="761"/>
      <c r="F194" s="761"/>
      <c r="G194" s="761"/>
      <c r="H194" s="761"/>
      <c r="I194" s="761"/>
      <c r="J194" s="761"/>
      <c r="K194" s="761"/>
      <c r="L194" s="761"/>
      <c r="M194" s="761"/>
      <c r="N194" s="761"/>
      <c r="O194" s="761"/>
      <c r="P194" s="761"/>
      <c r="Q194" s="761"/>
      <c r="R194" s="761"/>
      <c r="S194" s="761"/>
      <c r="T194" s="761"/>
      <c r="U194" s="761"/>
      <c r="V194" s="761"/>
      <c r="W194" s="761"/>
      <c r="X194" s="762"/>
      <c r="Y194" s="22"/>
    </row>
    <row r="195" spans="2:25" x14ac:dyDescent="0.25">
      <c r="B195" s="21"/>
      <c r="C195" s="6"/>
      <c r="D195" s="763"/>
      <c r="E195" s="764"/>
      <c r="F195" s="764"/>
      <c r="G195" s="764"/>
      <c r="H195" s="764"/>
      <c r="I195" s="764"/>
      <c r="J195" s="764"/>
      <c r="K195" s="764"/>
      <c r="L195" s="764"/>
      <c r="M195" s="764"/>
      <c r="N195" s="764"/>
      <c r="O195" s="764"/>
      <c r="P195" s="764"/>
      <c r="Q195" s="764"/>
      <c r="R195" s="764"/>
      <c r="S195" s="764"/>
      <c r="T195" s="764"/>
      <c r="U195" s="764"/>
      <c r="V195" s="764"/>
      <c r="W195" s="764"/>
      <c r="X195" s="765"/>
      <c r="Y195" s="22"/>
    </row>
    <row r="196" spans="2:25" x14ac:dyDescent="0.25">
      <c r="B196" s="21"/>
      <c r="C196" s="6"/>
      <c r="D196" s="91"/>
      <c r="E196" s="70"/>
      <c r="F196" s="70"/>
      <c r="G196" s="70"/>
      <c r="H196" s="6"/>
      <c r="I196" s="6"/>
      <c r="J196" s="6"/>
      <c r="K196" s="6"/>
      <c r="L196" s="6"/>
      <c r="M196" s="6"/>
      <c r="N196" s="6"/>
      <c r="O196" s="6"/>
      <c r="P196" s="6"/>
      <c r="Q196" s="6"/>
      <c r="R196" s="480"/>
      <c r="S196" s="480"/>
      <c r="T196" s="42"/>
      <c r="U196" s="42"/>
      <c r="V196" s="42"/>
      <c r="W196" s="156"/>
      <c r="X196" s="156"/>
      <c r="Y196" s="22"/>
    </row>
    <row r="197" spans="2:25" ht="15.75" thickBot="1" x14ac:dyDescent="0.3">
      <c r="B197" s="24"/>
      <c r="C197" s="25"/>
      <c r="D197" s="25"/>
      <c r="E197" s="25"/>
      <c r="F197" s="25"/>
      <c r="G197" s="25"/>
      <c r="H197" s="25"/>
      <c r="I197" s="25"/>
      <c r="J197" s="25"/>
      <c r="K197" s="25"/>
      <c r="L197" s="25"/>
      <c r="M197" s="25"/>
      <c r="N197" s="25"/>
      <c r="O197" s="25"/>
      <c r="P197" s="25"/>
      <c r="Q197" s="25"/>
      <c r="R197" s="25"/>
      <c r="S197" s="25"/>
      <c r="T197" s="25"/>
      <c r="U197" s="25"/>
      <c r="V197" s="25"/>
      <c r="W197" s="25"/>
      <c r="X197" s="25"/>
      <c r="Y197" s="26"/>
    </row>
    <row r="200" spans="2:25" ht="15.75" thickBot="1" x14ac:dyDescent="0.3"/>
    <row r="201" spans="2:25" x14ac:dyDescent="0.25">
      <c r="B201" s="18"/>
      <c r="C201" s="19"/>
      <c r="D201" s="19"/>
      <c r="E201" s="19"/>
      <c r="F201" s="19"/>
      <c r="G201" s="19"/>
      <c r="H201" s="19"/>
      <c r="I201" s="19"/>
      <c r="J201" s="19"/>
      <c r="K201" s="19"/>
      <c r="L201" s="19"/>
      <c r="M201" s="19"/>
      <c r="N201" s="19"/>
      <c r="O201" s="19"/>
      <c r="P201" s="19"/>
      <c r="Q201" s="19"/>
      <c r="R201" s="19"/>
      <c r="S201" s="19"/>
      <c r="T201" s="19"/>
      <c r="U201" s="19"/>
      <c r="V201" s="19"/>
      <c r="W201" s="19"/>
      <c r="X201" s="19"/>
      <c r="Y201" s="20"/>
    </row>
    <row r="202" spans="2:25" x14ac:dyDescent="0.25">
      <c r="B202" s="21"/>
      <c r="C202" s="6"/>
      <c r="D202" s="6"/>
      <c r="E202" s="6"/>
      <c r="F202" s="6"/>
      <c r="G202" s="6"/>
      <c r="H202" s="6"/>
      <c r="I202" s="6"/>
      <c r="J202" s="6"/>
      <c r="K202" s="6"/>
      <c r="L202" s="6"/>
      <c r="M202" s="6"/>
      <c r="N202" s="6"/>
      <c r="O202" s="6"/>
      <c r="P202" s="6"/>
      <c r="Q202" s="6"/>
      <c r="R202" s="6"/>
      <c r="S202" s="6"/>
      <c r="T202" s="6"/>
      <c r="U202" s="6"/>
      <c r="V202" s="6"/>
      <c r="W202" s="6"/>
      <c r="X202" s="6"/>
      <c r="Y202" s="22"/>
    </row>
    <row r="203" spans="2:25" x14ac:dyDescent="0.25">
      <c r="B203" s="21"/>
      <c r="C203" s="70" t="s">
        <v>2583</v>
      </c>
      <c r="D203" s="6"/>
      <c r="E203" s="6"/>
      <c r="F203" s="6"/>
      <c r="G203" s="6"/>
      <c r="H203" s="6"/>
      <c r="I203" s="6"/>
      <c r="J203" s="6"/>
      <c r="K203" s="6"/>
      <c r="L203" s="6"/>
      <c r="M203" s="6"/>
      <c r="N203" s="6"/>
      <c r="O203" s="6"/>
      <c r="P203" s="6"/>
      <c r="Q203" s="6"/>
      <c r="R203" s="6"/>
      <c r="S203" s="6"/>
      <c r="T203" s="6"/>
      <c r="U203" s="6"/>
      <c r="V203" s="6"/>
      <c r="W203" s="6"/>
      <c r="X203" s="6"/>
      <c r="Y203" s="22"/>
    </row>
    <row r="204" spans="2:25" x14ac:dyDescent="0.25">
      <c r="B204" s="21"/>
      <c r="C204" s="173" t="s">
        <v>318</v>
      </c>
      <c r="D204" s="173"/>
      <c r="E204" s="173"/>
      <c r="F204" s="173"/>
      <c r="G204" s="173"/>
      <c r="H204" s="173"/>
      <c r="I204" s="173"/>
      <c r="J204" s="173"/>
      <c r="K204" s="173"/>
      <c r="L204" s="173"/>
      <c r="M204" s="173"/>
      <c r="N204" s="173"/>
      <c r="O204" s="173"/>
      <c r="P204" s="173"/>
      <c r="Q204" s="173"/>
      <c r="R204" s="173"/>
      <c r="S204" s="173"/>
      <c r="T204" s="173"/>
      <c r="U204" s="173"/>
      <c r="V204" s="6"/>
      <c r="W204" s="6"/>
      <c r="X204" s="6"/>
      <c r="Y204" s="22"/>
    </row>
    <row r="205" spans="2:25" x14ac:dyDescent="0.25">
      <c r="B205" s="21"/>
      <c r="C205" s="173"/>
      <c r="D205" s="173" t="s">
        <v>319</v>
      </c>
      <c r="E205" s="173"/>
      <c r="F205" s="173"/>
      <c r="G205" s="173"/>
      <c r="H205" s="173"/>
      <c r="I205" s="173"/>
      <c r="J205" s="173"/>
      <c r="K205" s="173"/>
      <c r="L205" s="173"/>
      <c r="M205" s="173"/>
      <c r="N205" s="173"/>
      <c r="O205" s="173"/>
      <c r="P205" s="173"/>
      <c r="Q205" s="173"/>
      <c r="R205" s="173"/>
      <c r="S205" s="173"/>
      <c r="T205" s="173"/>
      <c r="U205" s="173"/>
      <c r="V205" s="6"/>
      <c r="W205" s="6"/>
      <c r="X205" s="6"/>
      <c r="Y205" s="22"/>
    </row>
    <row r="206" spans="2:25" x14ac:dyDescent="0.25">
      <c r="B206" s="21"/>
      <c r="C206" s="173"/>
      <c r="D206" s="23" t="s">
        <v>599</v>
      </c>
      <c r="E206" s="173"/>
      <c r="F206" s="173"/>
      <c r="G206" s="173"/>
      <c r="H206" s="173"/>
      <c r="I206" s="173"/>
      <c r="J206" s="173"/>
      <c r="K206" s="173"/>
      <c r="L206" s="173"/>
      <c r="M206" s="173"/>
      <c r="N206" s="173"/>
      <c r="O206" s="173"/>
      <c r="P206" s="173"/>
      <c r="Q206" s="173"/>
      <c r="R206" s="173"/>
      <c r="S206" s="173"/>
      <c r="T206" s="173"/>
      <c r="U206" s="173"/>
      <c r="V206" s="6"/>
      <c r="W206" s="6"/>
      <c r="X206" s="6"/>
      <c r="Y206" s="22"/>
    </row>
    <row r="207" spans="2:25" x14ac:dyDescent="0.25">
      <c r="B207" s="21"/>
      <c r="C207" s="173" t="s">
        <v>735</v>
      </c>
      <c r="D207" s="173"/>
      <c r="E207" s="173"/>
      <c r="F207" s="173"/>
      <c r="G207" s="173"/>
      <c r="H207" s="173"/>
      <c r="I207" s="173"/>
      <c r="J207" s="173"/>
      <c r="K207" s="173"/>
      <c r="L207" s="173"/>
      <c r="M207" s="173"/>
      <c r="N207" s="173"/>
      <c r="O207" s="173"/>
      <c r="P207" s="173"/>
      <c r="Q207" s="173"/>
      <c r="R207" s="173"/>
      <c r="S207" s="173"/>
      <c r="T207" s="173"/>
      <c r="U207" s="173"/>
      <c r="V207" s="6"/>
      <c r="W207" s="6"/>
      <c r="X207" s="6"/>
      <c r="Y207" s="22"/>
    </row>
    <row r="208" spans="2:25" x14ac:dyDescent="0.25">
      <c r="B208" s="21"/>
      <c r="C208" s="222" t="s">
        <v>736</v>
      </c>
      <c r="D208" s="173"/>
      <c r="E208" s="173"/>
      <c r="F208" s="173"/>
      <c r="G208" s="173"/>
      <c r="H208" s="173"/>
      <c r="I208" s="173"/>
      <c r="J208" s="173"/>
      <c r="K208" s="173"/>
      <c r="L208" s="173"/>
      <c r="M208" s="173"/>
      <c r="N208" s="173"/>
      <c r="O208" s="173"/>
      <c r="P208" s="173"/>
      <c r="Q208" s="173"/>
      <c r="R208" s="173"/>
      <c r="S208" s="173"/>
      <c r="T208" s="173"/>
      <c r="U208" s="173"/>
      <c r="V208" s="6"/>
      <c r="W208" s="6"/>
      <c r="X208" s="6"/>
      <c r="Y208" s="22"/>
    </row>
    <row r="209" spans="2:25" x14ac:dyDescent="0.25">
      <c r="B209" s="21"/>
      <c r="C209" s="42"/>
      <c r="D209" s="6"/>
      <c r="E209" s="6"/>
      <c r="F209" s="6"/>
      <c r="G209" s="6"/>
      <c r="H209" s="6"/>
      <c r="I209" s="6"/>
      <c r="J209" s="6"/>
      <c r="K209" s="6"/>
      <c r="L209" s="6"/>
      <c r="M209" s="6"/>
      <c r="N209" s="6"/>
      <c r="O209" s="6"/>
      <c r="P209" s="6"/>
      <c r="Q209" s="6"/>
      <c r="R209" s="6"/>
      <c r="S209" s="6"/>
      <c r="T209" s="6"/>
      <c r="U209" s="6"/>
      <c r="V209" s="6"/>
      <c r="W209" s="6"/>
      <c r="X209" s="6"/>
      <c r="Y209" s="22"/>
    </row>
    <row r="210" spans="2:25" x14ac:dyDescent="0.25">
      <c r="B210" s="21"/>
      <c r="C210" s="46" t="s">
        <v>2584</v>
      </c>
      <c r="D210" s="6"/>
      <c r="E210" s="6"/>
      <c r="F210" s="6"/>
      <c r="G210" s="6"/>
      <c r="H210" s="6"/>
      <c r="I210" s="6"/>
      <c r="J210" s="6"/>
      <c r="K210" s="6"/>
      <c r="L210" s="6"/>
      <c r="M210" s="6"/>
      <c r="N210" s="6"/>
      <c r="O210" s="6"/>
      <c r="P210" s="6"/>
      <c r="Q210" s="6"/>
      <c r="R210" s="6"/>
      <c r="S210" s="6"/>
      <c r="T210" s="6"/>
      <c r="U210" s="6"/>
      <c r="V210" s="6"/>
      <c r="W210" s="6"/>
      <c r="X210" s="6"/>
      <c r="Y210" s="22"/>
    </row>
    <row r="211" spans="2:25" x14ac:dyDescent="0.25">
      <c r="B211" s="21"/>
      <c r="C211" s="757"/>
      <c r="D211" s="758"/>
      <c r="E211" s="758"/>
      <c r="F211" s="758"/>
      <c r="G211" s="758"/>
      <c r="H211" s="758"/>
      <c r="I211" s="758"/>
      <c r="J211" s="758"/>
      <c r="K211" s="758"/>
      <c r="L211" s="758"/>
      <c r="M211" s="758"/>
      <c r="N211" s="758"/>
      <c r="O211" s="758"/>
      <c r="P211" s="758"/>
      <c r="Q211" s="758"/>
      <c r="R211" s="758"/>
      <c r="S211" s="758"/>
      <c r="T211" s="758"/>
      <c r="U211" s="758"/>
      <c r="V211" s="758"/>
      <c r="W211" s="758"/>
      <c r="X211" s="759"/>
      <c r="Y211" s="22"/>
    </row>
    <row r="212" spans="2:25" x14ac:dyDescent="0.25">
      <c r="B212" s="21"/>
      <c r="C212" s="760"/>
      <c r="D212" s="761"/>
      <c r="E212" s="761"/>
      <c r="F212" s="761"/>
      <c r="G212" s="761"/>
      <c r="H212" s="761"/>
      <c r="I212" s="761"/>
      <c r="J212" s="761"/>
      <c r="K212" s="761"/>
      <c r="L212" s="761"/>
      <c r="M212" s="761"/>
      <c r="N212" s="761"/>
      <c r="O212" s="761"/>
      <c r="P212" s="761"/>
      <c r="Q212" s="761"/>
      <c r="R212" s="761"/>
      <c r="S212" s="761"/>
      <c r="T212" s="761"/>
      <c r="U212" s="761"/>
      <c r="V212" s="761"/>
      <c r="W212" s="761"/>
      <c r="X212" s="762"/>
      <c r="Y212" s="22"/>
    </row>
    <row r="213" spans="2:25" x14ac:dyDescent="0.25">
      <c r="B213" s="21"/>
      <c r="C213" s="760"/>
      <c r="D213" s="761"/>
      <c r="E213" s="761"/>
      <c r="F213" s="761"/>
      <c r="G213" s="761"/>
      <c r="H213" s="761"/>
      <c r="I213" s="761"/>
      <c r="J213" s="761"/>
      <c r="K213" s="761"/>
      <c r="L213" s="761"/>
      <c r="M213" s="761"/>
      <c r="N213" s="761"/>
      <c r="O213" s="761"/>
      <c r="P213" s="761"/>
      <c r="Q213" s="761"/>
      <c r="R213" s="761"/>
      <c r="S213" s="761"/>
      <c r="T213" s="761"/>
      <c r="U213" s="761"/>
      <c r="V213" s="761"/>
      <c r="W213" s="761"/>
      <c r="X213" s="762"/>
      <c r="Y213" s="22"/>
    </row>
    <row r="214" spans="2:25" x14ac:dyDescent="0.25">
      <c r="B214" s="21"/>
      <c r="C214" s="760"/>
      <c r="D214" s="761"/>
      <c r="E214" s="761"/>
      <c r="F214" s="761"/>
      <c r="G214" s="761"/>
      <c r="H214" s="761"/>
      <c r="I214" s="761"/>
      <c r="J214" s="761"/>
      <c r="K214" s="761"/>
      <c r="L214" s="761"/>
      <c r="M214" s="761"/>
      <c r="N214" s="761"/>
      <c r="O214" s="761"/>
      <c r="P214" s="761"/>
      <c r="Q214" s="761"/>
      <c r="R214" s="761"/>
      <c r="S214" s="761"/>
      <c r="T214" s="761"/>
      <c r="U214" s="761"/>
      <c r="V214" s="761"/>
      <c r="W214" s="761"/>
      <c r="X214" s="762"/>
      <c r="Y214" s="22"/>
    </row>
    <row r="215" spans="2:25" x14ac:dyDescent="0.25">
      <c r="B215" s="21"/>
      <c r="C215" s="763"/>
      <c r="D215" s="764"/>
      <c r="E215" s="764"/>
      <c r="F215" s="764"/>
      <c r="G215" s="764"/>
      <c r="H215" s="764"/>
      <c r="I215" s="764"/>
      <c r="J215" s="764"/>
      <c r="K215" s="764"/>
      <c r="L215" s="764"/>
      <c r="M215" s="764"/>
      <c r="N215" s="764"/>
      <c r="O215" s="764"/>
      <c r="P215" s="764"/>
      <c r="Q215" s="764"/>
      <c r="R215" s="764"/>
      <c r="S215" s="764"/>
      <c r="T215" s="764"/>
      <c r="U215" s="764"/>
      <c r="V215" s="764"/>
      <c r="W215" s="764"/>
      <c r="X215" s="765"/>
      <c r="Y215" s="22"/>
    </row>
    <row r="216" spans="2:25" x14ac:dyDescent="0.25">
      <c r="B216" s="21"/>
      <c r="C216" s="6"/>
      <c r="D216" s="6"/>
      <c r="E216" s="6"/>
      <c r="F216" s="6"/>
      <c r="G216" s="6"/>
      <c r="H216" s="6"/>
      <c r="I216" s="6"/>
      <c r="J216" s="6"/>
      <c r="K216" s="6"/>
      <c r="L216" s="6"/>
      <c r="M216" s="6"/>
      <c r="N216" s="6"/>
      <c r="O216" s="6"/>
      <c r="P216" s="6"/>
      <c r="Q216" s="6"/>
      <c r="R216" s="6"/>
      <c r="S216" s="6"/>
      <c r="T216" s="6"/>
      <c r="U216" s="6"/>
      <c r="V216" s="6"/>
      <c r="W216" s="6"/>
      <c r="X216" s="6"/>
      <c r="Y216" s="22"/>
    </row>
    <row r="217" spans="2:25" x14ac:dyDescent="0.25">
      <c r="B217" s="21"/>
      <c r="C217" s="46" t="s">
        <v>320</v>
      </c>
      <c r="D217" s="6"/>
      <c r="E217" s="6"/>
      <c r="F217" s="6"/>
      <c r="G217" s="6"/>
      <c r="H217" s="6"/>
      <c r="I217" s="6"/>
      <c r="J217" s="6"/>
      <c r="K217" s="6"/>
      <c r="L217" s="6"/>
      <c r="M217" s="6"/>
      <c r="N217" s="6"/>
      <c r="O217" s="6"/>
      <c r="P217" s="6"/>
      <c r="Q217" s="6"/>
      <c r="R217" s="6"/>
      <c r="S217" s="6"/>
      <c r="T217" s="6"/>
      <c r="U217" s="6"/>
      <c r="V217" s="6"/>
      <c r="W217" s="6"/>
      <c r="X217" s="6"/>
      <c r="Y217" s="22"/>
    </row>
    <row r="218" spans="2:25" x14ac:dyDescent="0.25">
      <c r="B218" s="21"/>
      <c r="C218" s="6"/>
      <c r="D218" s="51" t="s">
        <v>2366</v>
      </c>
      <c r="E218" s="51"/>
      <c r="F218" s="51"/>
      <c r="G218" s="51"/>
      <c r="H218" s="51"/>
      <c r="I218" s="51"/>
      <c r="J218" s="51"/>
      <c r="K218" s="51"/>
      <c r="L218" s="51"/>
      <c r="M218" s="47"/>
      <c r="N218" s="882"/>
      <c r="O218" s="883"/>
      <c r="P218" s="70" t="s">
        <v>258</v>
      </c>
      <c r="Q218" s="6"/>
      <c r="R218" s="173" t="str">
        <f>IF(N218&gt;N224,"Attention : surface saisie &gt; SAU hors horticulture","")</f>
        <v/>
      </c>
      <c r="S218" s="6"/>
      <c r="T218" s="6"/>
      <c r="U218" s="6"/>
      <c r="V218" s="6"/>
      <c r="W218" s="6"/>
      <c r="X218" s="6"/>
      <c r="Y218" s="22"/>
    </row>
    <row r="219" spans="2:25" x14ac:dyDescent="0.25">
      <c r="B219" s="21"/>
      <c r="C219" s="6"/>
      <c r="D219" s="52" t="s">
        <v>2435</v>
      </c>
      <c r="E219" s="52"/>
      <c r="F219" s="52"/>
      <c r="G219" s="52"/>
      <c r="H219" s="52"/>
      <c r="I219" s="52"/>
      <c r="J219" s="52"/>
      <c r="K219" s="52"/>
      <c r="L219" s="52"/>
      <c r="M219" s="48"/>
      <c r="N219" s="882"/>
      <c r="O219" s="883"/>
      <c r="P219" s="70" t="s">
        <v>258</v>
      </c>
      <c r="Q219" s="6"/>
      <c r="R219" s="173" t="str">
        <f>IF(N219&gt;N225,"Attention : surface saisie &gt; surface en horticulture","")</f>
        <v/>
      </c>
      <c r="S219" s="6"/>
      <c r="T219" s="6"/>
      <c r="U219" s="6"/>
      <c r="V219" s="6"/>
      <c r="W219" s="6"/>
      <c r="X219" s="6"/>
      <c r="Y219" s="22"/>
    </row>
    <row r="220" spans="2:25" x14ac:dyDescent="0.25">
      <c r="B220" s="21"/>
      <c r="C220" s="6"/>
      <c r="E220" s="6"/>
      <c r="F220" s="6"/>
      <c r="G220" s="6"/>
      <c r="H220" s="6"/>
      <c r="I220" s="6"/>
      <c r="N220" s="6"/>
      <c r="O220" s="6"/>
      <c r="P220" s="6"/>
      <c r="Q220" s="6"/>
      <c r="R220" s="6"/>
      <c r="S220" s="6"/>
      <c r="T220" s="6"/>
      <c r="U220" s="6"/>
      <c r="V220" s="6"/>
      <c r="W220" s="6"/>
      <c r="X220" s="6"/>
      <c r="Y220" s="22"/>
    </row>
    <row r="221" spans="2:25" x14ac:dyDescent="0.25">
      <c r="B221" s="21"/>
      <c r="C221" s="6"/>
      <c r="D221" s="6"/>
      <c r="E221" s="6"/>
      <c r="F221" s="6"/>
      <c r="G221" s="6"/>
      <c r="H221" s="6"/>
      <c r="I221" s="6"/>
      <c r="N221" s="6"/>
      <c r="O221" s="6"/>
      <c r="P221" s="6"/>
      <c r="Q221" s="6"/>
      <c r="R221" s="6"/>
      <c r="S221" s="6"/>
      <c r="T221" s="6"/>
      <c r="U221" s="6"/>
      <c r="V221" s="6"/>
      <c r="W221" s="6"/>
      <c r="X221" s="6"/>
      <c r="Y221" s="22"/>
    </row>
    <row r="222" spans="2:25" x14ac:dyDescent="0.25">
      <c r="B222" s="21"/>
      <c r="C222" s="46"/>
      <c r="D222" s="6"/>
      <c r="E222" s="6"/>
      <c r="F222" s="6"/>
      <c r="G222" s="6"/>
      <c r="H222" s="6"/>
      <c r="I222" s="6"/>
      <c r="N222" s="6"/>
      <c r="O222" s="6"/>
      <c r="P222" s="741" t="s">
        <v>245</v>
      </c>
      <c r="Q222" s="741"/>
      <c r="R222" s="6"/>
      <c r="S222" s="6"/>
      <c r="T222" s="6"/>
      <c r="U222" s="6"/>
      <c r="V222" s="6"/>
      <c r="W222" s="6"/>
      <c r="X222" s="6"/>
      <c r="Y222" s="22"/>
    </row>
    <row r="223" spans="2:25" x14ac:dyDescent="0.25">
      <c r="B223" s="21"/>
      <c r="C223" s="46"/>
      <c r="P223" s="391"/>
      <c r="Q223" s="391"/>
      <c r="R223" s="6"/>
      <c r="S223" s="6"/>
      <c r="T223" s="6"/>
      <c r="U223" s="6"/>
      <c r="V223" s="6"/>
      <c r="W223" s="6"/>
      <c r="X223" s="6"/>
      <c r="Y223" s="22"/>
    </row>
    <row r="224" spans="2:25" x14ac:dyDescent="0.25">
      <c r="B224" s="21"/>
      <c r="C224" s="46"/>
      <c r="D224" s="44" t="s">
        <v>2367</v>
      </c>
      <c r="E224" s="44"/>
      <c r="F224" s="44"/>
      <c r="G224" s="44"/>
      <c r="H224" s="44"/>
      <c r="I224" s="44"/>
      <c r="J224" s="44"/>
      <c r="K224" s="44"/>
      <c r="L224" s="44"/>
      <c r="M224" s="44"/>
      <c r="N224" s="878">
        <f>cSAU-Surfaces!O195</f>
        <v>10</v>
      </c>
      <c r="O224" s="888"/>
      <c r="P224" s="391"/>
      <c r="Q224" s="391"/>
      <c r="R224" s="6"/>
      <c r="S224" s="6"/>
      <c r="T224" s="6"/>
      <c r="U224" s="6"/>
      <c r="V224" s="6"/>
      <c r="W224" s="6"/>
      <c r="X224" s="6"/>
      <c r="Y224" s="22"/>
    </row>
    <row r="225" spans="2:25" x14ac:dyDescent="0.25">
      <c r="B225" s="21"/>
      <c r="C225" s="6"/>
      <c r="D225" s="52" t="s">
        <v>2364</v>
      </c>
      <c r="E225" s="44"/>
      <c r="F225" s="44"/>
      <c r="G225" s="44"/>
      <c r="H225" s="44"/>
      <c r="I225" s="44"/>
      <c r="J225" s="44"/>
      <c r="K225" s="44"/>
      <c r="L225" s="44"/>
      <c r="M225" s="44"/>
      <c r="N225" s="878">
        <f>Surfaces!O195</f>
        <v>0</v>
      </c>
      <c r="O225" s="888"/>
      <c r="P225" s="6"/>
      <c r="R225" s="6"/>
      <c r="S225" s="6"/>
      <c r="T225" s="6"/>
      <c r="U225" s="6"/>
      <c r="V225" s="6"/>
      <c r="W225" s="6"/>
      <c r="X225" s="6"/>
      <c r="Y225" s="22"/>
    </row>
    <row r="226" spans="2:25" x14ac:dyDescent="0.25">
      <c r="B226" s="21"/>
      <c r="C226" s="6"/>
      <c r="D226" s="88" t="s">
        <v>2368</v>
      </c>
      <c r="E226" s="88"/>
      <c r="F226" s="88"/>
      <c r="G226" s="88"/>
      <c r="H226" s="88"/>
      <c r="I226" s="88"/>
      <c r="J226" s="88"/>
      <c r="K226" s="88"/>
      <c r="L226" s="88"/>
      <c r="M226" s="88"/>
      <c r="N226" s="874">
        <f>IFERROR(N218/N224,0)</f>
        <v>0</v>
      </c>
      <c r="O226" s="875"/>
      <c r="P226" s="910">
        <f>IF(N226&gt;=0.75,3,IF(AND(N226&lt;0.75,N226&gt;=0.625),2.5,IF(AND(N226&lt;0.625,N226&gt;=0.5),2,IF(AND(N226&lt;0.5,N226&gt;=0.375),1.5,IF(AND(N226&lt;0.375,N226&gt;=0.25),1,0)))))</f>
        <v>0</v>
      </c>
      <c r="Q226" s="911"/>
      <c r="R226" s="6"/>
      <c r="S226" s="6"/>
      <c r="T226" s="6"/>
      <c r="U226" s="6"/>
      <c r="V226" s="6"/>
      <c r="W226" s="6"/>
      <c r="X226" s="6"/>
      <c r="Y226" s="22"/>
    </row>
    <row r="227" spans="2:25" x14ac:dyDescent="0.25">
      <c r="B227" s="21"/>
      <c r="C227" s="6"/>
      <c r="D227" s="88" t="s">
        <v>2365</v>
      </c>
      <c r="E227" s="88"/>
      <c r="F227" s="88"/>
      <c r="G227" s="88"/>
      <c r="H227" s="88"/>
      <c r="I227" s="88"/>
      <c r="J227" s="88"/>
      <c r="K227" s="88"/>
      <c r="L227" s="88"/>
      <c r="M227" s="88"/>
      <c r="N227" s="874">
        <f>IFERROR(N219/N225,0)</f>
        <v>0</v>
      </c>
      <c r="O227" s="875"/>
      <c r="P227" s="910">
        <f>IF(AND(N227&gt;=0.25,N227&lt;0.5),2,IF(AND(N227&gt;=0.5,N227&lt;0.75),4,IF(N227&gt;=0.75,6,0)))</f>
        <v>0</v>
      </c>
      <c r="Q227" s="911"/>
      <c r="R227" s="6"/>
      <c r="S227" s="6"/>
      <c r="T227" s="6"/>
      <c r="U227" s="6"/>
      <c r="V227" s="6"/>
      <c r="W227" s="770" t="s">
        <v>723</v>
      </c>
      <c r="X227" s="770"/>
      <c r="Y227" s="22"/>
    </row>
    <row r="228" spans="2:25" s="499" customFormat="1" x14ac:dyDescent="0.25">
      <c r="B228" s="21"/>
      <c r="C228" s="6"/>
      <c r="D228" s="44" t="s">
        <v>304</v>
      </c>
      <c r="E228" s="44"/>
      <c r="F228" s="44"/>
      <c r="G228" s="44"/>
      <c r="H228" s="44"/>
      <c r="I228" s="44"/>
      <c r="J228" s="44"/>
      <c r="K228" s="44"/>
      <c r="L228" s="44"/>
      <c r="M228" s="44"/>
      <c r="N228" s="878">
        <f>Surfaces!O24</f>
        <v>10</v>
      </c>
      <c r="O228" s="888"/>
      <c r="P228" s="539"/>
      <c r="Q228" s="540"/>
      <c r="R228" s="6"/>
      <c r="S228" s="6"/>
      <c r="T228" s="6"/>
      <c r="U228" s="6"/>
      <c r="V228" s="6"/>
      <c r="W228" s="536"/>
      <c r="X228" s="536"/>
      <c r="Y228" s="22"/>
    </row>
    <row r="229" spans="2:25" x14ac:dyDescent="0.25">
      <c r="B229" s="21"/>
      <c r="C229" s="6"/>
      <c r="D229" s="223" t="s">
        <v>427</v>
      </c>
      <c r="E229" s="88"/>
      <c r="F229" s="88"/>
      <c r="G229" s="88"/>
      <c r="H229" s="88"/>
      <c r="I229" s="88"/>
      <c r="J229" s="88"/>
      <c r="K229" s="88"/>
      <c r="L229" s="88"/>
      <c r="M229" s="88"/>
      <c r="N229" s="169"/>
      <c r="O229" s="170"/>
      <c r="P229" s="885">
        <f>IF(cSAU=0,0,IF(cCMR1&gt;0,MIN((P226*(N224/N228))+(P227*(N225/N228)),6),0))</f>
        <v>0</v>
      </c>
      <c r="Q229" s="886"/>
      <c r="R229" s="6"/>
      <c r="S229" s="6"/>
      <c r="T229" s="6"/>
      <c r="U229" s="6"/>
      <c r="V229" s="6"/>
      <c r="W229" s="892">
        <f>IF(cSAU = 0,6,(6*(N225/N228))+(3*(SUM(N224:O224)/N228)))</f>
        <v>3</v>
      </c>
      <c r="X229" s="893"/>
      <c r="Y229" s="22"/>
    </row>
    <row r="230" spans="2:25" x14ac:dyDescent="0.25">
      <c r="B230" s="21"/>
      <c r="D230" s="6"/>
      <c r="E230" s="6"/>
      <c r="F230" s="6"/>
      <c r="G230" s="6"/>
      <c r="H230" s="6"/>
      <c r="I230" s="6"/>
      <c r="J230" s="42"/>
      <c r="K230" s="42"/>
      <c r="L230" s="6"/>
      <c r="M230" s="6"/>
      <c r="N230" s="6"/>
      <c r="O230" s="6"/>
      <c r="P230" s="6"/>
      <c r="Q230" s="6"/>
      <c r="R230" s="6"/>
      <c r="S230" s="6"/>
      <c r="T230" s="6"/>
      <c r="U230" s="6"/>
      <c r="V230" s="6"/>
      <c r="W230" s="6"/>
      <c r="X230" s="6"/>
      <c r="Y230" s="22"/>
    </row>
    <row r="231" spans="2:25" ht="15.75" thickBot="1" x14ac:dyDescent="0.3">
      <c r="B231" s="24"/>
      <c r="C231" s="25"/>
      <c r="D231" s="25"/>
      <c r="E231" s="25"/>
      <c r="F231" s="25"/>
      <c r="G231" s="25"/>
      <c r="H231" s="25"/>
      <c r="I231" s="25"/>
      <c r="J231" s="25"/>
      <c r="K231" s="25"/>
      <c r="L231" s="25"/>
      <c r="M231" s="25"/>
      <c r="N231" s="25"/>
      <c r="O231" s="25"/>
      <c r="P231" s="25"/>
      <c r="Q231" s="25"/>
      <c r="R231" s="25"/>
      <c r="S231" s="25"/>
      <c r="T231" s="25"/>
      <c r="U231" s="25"/>
      <c r="V231" s="25"/>
      <c r="W231" s="25"/>
      <c r="X231" s="25"/>
      <c r="Y231" s="26"/>
    </row>
    <row r="234" spans="2:25" ht="15.75" thickBot="1" x14ac:dyDescent="0.3"/>
    <row r="235" spans="2:25" x14ac:dyDescent="0.25">
      <c r="B235" s="18"/>
      <c r="C235" s="19"/>
      <c r="D235" s="19"/>
      <c r="E235" s="19"/>
      <c r="F235" s="19"/>
      <c r="G235" s="19"/>
      <c r="H235" s="19"/>
      <c r="I235" s="19"/>
      <c r="J235" s="19"/>
      <c r="K235" s="19"/>
      <c r="L235" s="19"/>
      <c r="M235" s="19"/>
      <c r="N235" s="19"/>
      <c r="O235" s="19"/>
      <c r="P235" s="19"/>
      <c r="Q235" s="19"/>
      <c r="R235" s="19"/>
      <c r="S235" s="19"/>
      <c r="T235" s="19"/>
      <c r="U235" s="19"/>
      <c r="V235" s="19"/>
      <c r="W235" s="19"/>
      <c r="X235" s="19"/>
      <c r="Y235" s="20"/>
    </row>
    <row r="236" spans="2:25" x14ac:dyDescent="0.25">
      <c r="B236" s="21"/>
      <c r="C236" s="6"/>
      <c r="D236" s="6"/>
      <c r="E236" s="6"/>
      <c r="F236" s="6"/>
      <c r="G236" s="6"/>
      <c r="H236" s="6"/>
      <c r="I236" s="6"/>
      <c r="J236" s="6"/>
      <c r="K236" s="6"/>
      <c r="L236" s="6"/>
      <c r="M236" s="6"/>
      <c r="N236" s="6"/>
      <c r="O236" s="6"/>
      <c r="P236" s="6"/>
      <c r="Q236" s="6"/>
      <c r="R236" s="6"/>
      <c r="S236" s="6"/>
      <c r="T236" s="6"/>
      <c r="U236" s="6"/>
      <c r="V236" s="6"/>
      <c r="W236" s="6"/>
      <c r="X236" s="6"/>
      <c r="Y236" s="22"/>
    </row>
    <row r="237" spans="2:25" x14ac:dyDescent="0.25">
      <c r="B237" s="21"/>
      <c r="C237" s="541" t="s">
        <v>2534</v>
      </c>
      <c r="D237" s="6"/>
      <c r="E237" s="6"/>
      <c r="F237" s="6"/>
      <c r="G237" s="6"/>
      <c r="H237" s="6"/>
      <c r="I237" s="6"/>
      <c r="J237" s="6"/>
      <c r="K237" s="6"/>
      <c r="L237" s="6"/>
      <c r="M237" s="6"/>
      <c r="N237" s="6"/>
      <c r="O237" s="6"/>
      <c r="P237" s="6"/>
      <c r="Q237" s="6"/>
      <c r="R237" s="6"/>
      <c r="S237" s="6"/>
      <c r="T237" s="6"/>
      <c r="U237" s="6"/>
      <c r="V237" s="6"/>
      <c r="W237" s="6"/>
      <c r="X237" s="6"/>
      <c r="Y237" s="22"/>
    </row>
    <row r="238" spans="2:25" x14ac:dyDescent="0.25">
      <c r="B238" s="21"/>
      <c r="C238" s="6"/>
      <c r="D238" s="6"/>
      <c r="E238" s="6"/>
      <c r="F238" s="6"/>
      <c r="G238" s="6"/>
      <c r="H238" s="6"/>
      <c r="I238" s="6"/>
      <c r="J238" s="6"/>
      <c r="K238" s="6"/>
      <c r="L238" s="6"/>
      <c r="M238" s="6"/>
      <c r="N238" s="6"/>
      <c r="O238" s="6"/>
      <c r="P238" s="6"/>
      <c r="Q238" s="6"/>
      <c r="R238" s="6"/>
      <c r="S238" s="6"/>
      <c r="T238" s="6"/>
      <c r="U238" s="6"/>
      <c r="V238" s="6"/>
      <c r="W238" s="6"/>
      <c r="X238" s="6"/>
      <c r="Y238" s="22"/>
    </row>
    <row r="239" spans="2:25" x14ac:dyDescent="0.25">
      <c r="B239" s="21"/>
      <c r="C239" s="6"/>
      <c r="D239" s="6"/>
      <c r="E239" s="6"/>
      <c r="F239" s="6"/>
      <c r="G239" s="6"/>
      <c r="H239" s="6"/>
      <c r="I239" s="6"/>
      <c r="J239" s="999" t="s">
        <v>263</v>
      </c>
      <c r="K239" s="999"/>
      <c r="L239" s="6"/>
      <c r="M239" s="6"/>
      <c r="N239" s="6"/>
      <c r="O239" s="6"/>
      <c r="P239" s="6"/>
      <c r="Q239" s="6"/>
      <c r="R239" s="6"/>
      <c r="S239" s="6"/>
      <c r="T239" s="6"/>
      <c r="U239" s="6"/>
      <c r="V239" s="6"/>
      <c r="W239" s="6"/>
      <c r="X239" s="6"/>
      <c r="Y239" s="22"/>
    </row>
    <row r="240" spans="2:25" x14ac:dyDescent="0.25">
      <c r="B240" s="21"/>
      <c r="C240" s="51" t="s">
        <v>391</v>
      </c>
      <c r="D240" s="51"/>
      <c r="E240" s="51"/>
      <c r="F240" s="51"/>
      <c r="G240" s="51"/>
      <c r="H240" s="51"/>
      <c r="I240" s="47"/>
      <c r="J240" s="794"/>
      <c r="K240" s="795"/>
      <c r="L240" s="6"/>
      <c r="M240" s="6"/>
      <c r="N240" s="6"/>
      <c r="O240" s="6"/>
      <c r="P240" s="6"/>
      <c r="Q240" s="6"/>
      <c r="R240" s="6"/>
      <c r="S240" s="6"/>
      <c r="T240" s="6"/>
      <c r="U240" s="6"/>
      <c r="V240" s="6"/>
      <c r="W240" s="6"/>
      <c r="X240" s="6"/>
      <c r="Y240" s="22"/>
    </row>
    <row r="241" spans="2:25" x14ac:dyDescent="0.25">
      <c r="B241" s="21"/>
      <c r="C241" s="6"/>
      <c r="D241" s="6"/>
      <c r="E241" s="6"/>
      <c r="F241" s="6"/>
      <c r="G241" s="6"/>
      <c r="H241" s="6"/>
      <c r="I241" s="6"/>
      <c r="J241" s="6"/>
      <c r="K241" s="6"/>
      <c r="L241" s="6"/>
      <c r="M241" s="6"/>
      <c r="N241" s="6"/>
      <c r="O241" s="6"/>
      <c r="P241" s="6"/>
      <c r="Q241" s="6"/>
      <c r="R241" s="6"/>
      <c r="S241" s="6"/>
      <c r="T241" s="6"/>
      <c r="U241" s="6"/>
      <c r="V241" s="6"/>
      <c r="W241" s="6"/>
      <c r="X241" s="6"/>
      <c r="Y241" s="22"/>
    </row>
    <row r="242" spans="2:25" x14ac:dyDescent="0.25">
      <c r="B242" s="21"/>
      <c r="C242" s="6"/>
      <c r="D242" s="6"/>
      <c r="E242" s="6"/>
      <c r="F242" s="6"/>
      <c r="G242" s="6"/>
      <c r="H242" s="6"/>
      <c r="I242" s="6"/>
      <c r="J242" s="6"/>
      <c r="K242" s="6"/>
      <c r="L242" s="6"/>
      <c r="M242" s="6"/>
      <c r="N242" s="6"/>
      <c r="O242" s="6"/>
      <c r="P242" s="6"/>
      <c r="Q242" s="6"/>
      <c r="R242" s="6"/>
      <c r="S242" s="6"/>
      <c r="T242" s="6"/>
      <c r="U242" s="6"/>
      <c r="V242" s="6"/>
      <c r="W242" s="6"/>
      <c r="X242" s="6"/>
      <c r="Y242" s="22"/>
    </row>
    <row r="243" spans="2:25" x14ac:dyDescent="0.25">
      <c r="B243" s="21"/>
      <c r="C243" s="46" t="s">
        <v>2369</v>
      </c>
      <c r="D243" s="6"/>
      <c r="E243" s="6"/>
      <c r="F243" s="6"/>
      <c r="G243" s="6"/>
      <c r="H243" s="6"/>
      <c r="I243" s="6"/>
      <c r="J243" s="6"/>
      <c r="K243" s="6"/>
      <c r="L243" s="6"/>
      <c r="M243" s="6"/>
      <c r="N243" s="6"/>
      <c r="O243" s="6"/>
      <c r="P243" s="6"/>
      <c r="Q243" s="6"/>
      <c r="R243" s="6"/>
      <c r="S243" s="6"/>
      <c r="T243" s="6"/>
      <c r="U243" s="6"/>
      <c r="V243" s="6"/>
      <c r="W243" s="6"/>
      <c r="X243" s="6"/>
      <c r="Y243" s="22"/>
    </row>
    <row r="244" spans="2:25" x14ac:dyDescent="0.25">
      <c r="B244" s="21"/>
      <c r="C244" s="757"/>
      <c r="D244" s="758"/>
      <c r="E244" s="758"/>
      <c r="F244" s="758"/>
      <c r="G244" s="758"/>
      <c r="H244" s="758"/>
      <c r="I244" s="758"/>
      <c r="J244" s="758"/>
      <c r="K244" s="758"/>
      <c r="L244" s="758"/>
      <c r="M244" s="758"/>
      <c r="N244" s="758"/>
      <c r="O244" s="758"/>
      <c r="P244" s="758"/>
      <c r="Q244" s="758"/>
      <c r="R244" s="758"/>
      <c r="S244" s="758"/>
      <c r="T244" s="758"/>
      <c r="U244" s="758"/>
      <c r="V244" s="758"/>
      <c r="W244" s="759"/>
      <c r="X244" s="6"/>
      <c r="Y244" s="22"/>
    </row>
    <row r="245" spans="2:25" x14ac:dyDescent="0.25">
      <c r="B245" s="21"/>
      <c r="C245" s="760"/>
      <c r="D245" s="761"/>
      <c r="E245" s="761"/>
      <c r="F245" s="761"/>
      <c r="G245" s="761"/>
      <c r="H245" s="761"/>
      <c r="I245" s="761"/>
      <c r="J245" s="761"/>
      <c r="K245" s="761"/>
      <c r="L245" s="761"/>
      <c r="M245" s="761"/>
      <c r="N245" s="761"/>
      <c r="O245" s="761"/>
      <c r="P245" s="761"/>
      <c r="Q245" s="761"/>
      <c r="R245" s="761"/>
      <c r="S245" s="761"/>
      <c r="T245" s="761"/>
      <c r="U245" s="761"/>
      <c r="V245" s="761"/>
      <c r="W245" s="762"/>
      <c r="X245" s="6"/>
      <c r="Y245" s="22"/>
    </row>
    <row r="246" spans="2:25" x14ac:dyDescent="0.25">
      <c r="B246" s="21"/>
      <c r="C246" s="760"/>
      <c r="D246" s="761"/>
      <c r="E246" s="761"/>
      <c r="F246" s="761"/>
      <c r="G246" s="761"/>
      <c r="H246" s="761"/>
      <c r="I246" s="761"/>
      <c r="J246" s="761"/>
      <c r="K246" s="761"/>
      <c r="L246" s="761"/>
      <c r="M246" s="761"/>
      <c r="N246" s="761"/>
      <c r="O246" s="761"/>
      <c r="P246" s="761"/>
      <c r="Q246" s="761"/>
      <c r="R246" s="761"/>
      <c r="S246" s="761"/>
      <c r="T246" s="761"/>
      <c r="U246" s="761"/>
      <c r="V246" s="761"/>
      <c r="W246" s="762"/>
      <c r="X246" s="6"/>
      <c r="Y246" s="22"/>
    </row>
    <row r="247" spans="2:25" x14ac:dyDescent="0.25">
      <c r="B247" s="21"/>
      <c r="C247" s="760"/>
      <c r="D247" s="761"/>
      <c r="E247" s="761"/>
      <c r="F247" s="761"/>
      <c r="G247" s="761"/>
      <c r="H247" s="761"/>
      <c r="I247" s="761"/>
      <c r="J247" s="761"/>
      <c r="K247" s="761"/>
      <c r="L247" s="761"/>
      <c r="M247" s="761"/>
      <c r="N247" s="761"/>
      <c r="O247" s="761"/>
      <c r="P247" s="761"/>
      <c r="Q247" s="761"/>
      <c r="R247" s="761"/>
      <c r="S247" s="761"/>
      <c r="T247" s="761"/>
      <c r="U247" s="761"/>
      <c r="V247" s="761"/>
      <c r="W247" s="762"/>
      <c r="X247" s="6"/>
      <c r="Y247" s="22"/>
    </row>
    <row r="248" spans="2:25" x14ac:dyDescent="0.25">
      <c r="B248" s="21"/>
      <c r="C248" s="763"/>
      <c r="D248" s="764"/>
      <c r="E248" s="764"/>
      <c r="F248" s="764"/>
      <c r="G248" s="764"/>
      <c r="H248" s="764"/>
      <c r="I248" s="764"/>
      <c r="J248" s="764"/>
      <c r="K248" s="764"/>
      <c r="L248" s="764"/>
      <c r="M248" s="764"/>
      <c r="N248" s="764"/>
      <c r="O248" s="764"/>
      <c r="P248" s="764"/>
      <c r="Q248" s="764"/>
      <c r="R248" s="764"/>
      <c r="S248" s="764"/>
      <c r="T248" s="764"/>
      <c r="U248" s="764"/>
      <c r="V248" s="764"/>
      <c r="W248" s="765"/>
      <c r="X248" s="6"/>
      <c r="Y248" s="22"/>
    </row>
    <row r="249" spans="2:25" x14ac:dyDescent="0.25">
      <c r="B249" s="21"/>
      <c r="C249" s="6"/>
      <c r="D249" s="6"/>
      <c r="E249" s="6"/>
      <c r="F249" s="6"/>
      <c r="G249" s="6"/>
      <c r="H249" s="6"/>
      <c r="I249" s="6"/>
      <c r="J249" s="6"/>
      <c r="K249" s="6"/>
      <c r="L249" s="6"/>
      <c r="M249" s="6"/>
      <c r="N249" s="6"/>
      <c r="O249" s="6"/>
      <c r="P249" s="6"/>
      <c r="Q249" s="6"/>
      <c r="R249" s="6"/>
      <c r="S249" s="6"/>
      <c r="T249" s="6"/>
      <c r="U249" s="6"/>
      <c r="V249" s="6"/>
      <c r="W249" s="6"/>
      <c r="X249" s="6"/>
      <c r="Y249" s="22"/>
    </row>
    <row r="250" spans="2:25" x14ac:dyDescent="0.25">
      <c r="B250" s="21"/>
      <c r="C250" s="46"/>
      <c r="D250" s="6"/>
      <c r="E250" s="6"/>
      <c r="F250" s="6"/>
      <c r="G250" s="6"/>
      <c r="H250" s="6"/>
      <c r="I250" s="6"/>
      <c r="J250" s="6"/>
      <c r="K250" s="6"/>
      <c r="L250" s="6"/>
      <c r="M250" s="6"/>
      <c r="N250" s="6"/>
      <c r="O250" s="6"/>
      <c r="P250" s="6"/>
      <c r="Q250" s="6"/>
      <c r="R250" s="6"/>
      <c r="S250" s="6"/>
      <c r="T250" s="6"/>
      <c r="U250" s="6"/>
      <c r="V250" s="6"/>
      <c r="W250" s="6"/>
      <c r="X250" s="6"/>
      <c r="Y250" s="22"/>
    </row>
    <row r="251" spans="2:25" x14ac:dyDescent="0.25">
      <c r="B251" s="21"/>
      <c r="C251" s="6"/>
      <c r="D251" s="741" t="s">
        <v>245</v>
      </c>
      <c r="E251" s="741"/>
      <c r="F251" s="6"/>
      <c r="G251" s="6"/>
      <c r="H251" s="6"/>
      <c r="I251" s="6"/>
      <c r="J251" s="6"/>
      <c r="K251" s="6"/>
      <c r="L251" s="6"/>
      <c r="M251" s="6"/>
      <c r="N251" s="6"/>
      <c r="O251" s="6"/>
      <c r="P251" s="6"/>
      <c r="Q251" s="6"/>
      <c r="R251" s="6"/>
      <c r="S251" s="6"/>
      <c r="T251" s="6"/>
      <c r="U251" s="6"/>
      <c r="V251" s="6"/>
      <c r="W251" s="6"/>
      <c r="X251" s="6"/>
      <c r="Y251" s="22"/>
    </row>
    <row r="252" spans="2:25" x14ac:dyDescent="0.25">
      <c r="B252" s="21"/>
      <c r="C252" s="6"/>
      <c r="D252" s="1002"/>
      <c r="E252" s="1002"/>
      <c r="F252" s="6"/>
      <c r="G252" s="6"/>
      <c r="H252" s="6"/>
      <c r="I252" s="6"/>
      <c r="J252" s="6"/>
      <c r="K252" s="6"/>
      <c r="L252" s="6"/>
      <c r="M252" s="6"/>
      <c r="N252" s="6"/>
      <c r="O252" s="6"/>
      <c r="P252" s="6"/>
      <c r="Q252" s="6"/>
      <c r="R252" s="6"/>
      <c r="S252" s="6"/>
      <c r="T252" s="6"/>
      <c r="U252" s="6"/>
      <c r="V252" s="6"/>
      <c r="W252" s="770" t="s">
        <v>723</v>
      </c>
      <c r="X252" s="770"/>
      <c r="Y252" s="22"/>
    </row>
    <row r="253" spans="2:25" x14ac:dyDescent="0.25">
      <c r="B253" s="21"/>
      <c r="C253" s="6"/>
      <c r="D253" s="1000">
        <f>IF(cCMR1&gt;0,IFERROR(IF(J240=1,1,IF(J240&gt;=2,2,0)),0),0)</f>
        <v>0</v>
      </c>
      <c r="E253" s="1001"/>
      <c r="F253" s="173"/>
      <c r="G253" s="6"/>
      <c r="H253" s="6"/>
      <c r="I253" s="6"/>
      <c r="J253" s="6"/>
      <c r="K253" s="6"/>
      <c r="L253" s="6"/>
      <c r="M253" s="6"/>
      <c r="N253" s="6"/>
      <c r="O253" s="6"/>
      <c r="P253" s="6"/>
      <c r="Q253" s="6"/>
      <c r="R253" s="6"/>
      <c r="S253" s="6"/>
      <c r="T253" s="6"/>
      <c r="U253" s="6"/>
      <c r="V253" s="6"/>
      <c r="W253" s="890">
        <v>2</v>
      </c>
      <c r="X253" s="891"/>
      <c r="Y253" s="22"/>
    </row>
    <row r="254" spans="2:25" x14ac:dyDescent="0.25">
      <c r="B254" s="21"/>
      <c r="C254" s="6"/>
      <c r="D254" s="6"/>
      <c r="E254" s="6"/>
      <c r="F254" s="6"/>
      <c r="G254" s="6"/>
      <c r="H254" s="6"/>
      <c r="I254" s="6"/>
      <c r="J254" s="6"/>
      <c r="K254" s="6"/>
      <c r="L254" s="6"/>
      <c r="M254" s="6"/>
      <c r="N254" s="6"/>
      <c r="O254" s="6"/>
      <c r="P254" s="6"/>
      <c r="Q254" s="6"/>
      <c r="R254" s="6"/>
      <c r="S254" s="6"/>
      <c r="T254" s="6"/>
      <c r="U254" s="6"/>
      <c r="V254" s="6"/>
      <c r="W254" s="6"/>
      <c r="X254" s="6"/>
      <c r="Y254" s="22"/>
    </row>
    <row r="255" spans="2:25" ht="15.75" thickBot="1" x14ac:dyDescent="0.3">
      <c r="B255" s="24"/>
      <c r="C255" s="25"/>
      <c r="D255" s="25"/>
      <c r="E255" s="25"/>
      <c r="F255" s="25"/>
      <c r="G255" s="25"/>
      <c r="H255" s="25"/>
      <c r="I255" s="25"/>
      <c r="J255" s="25"/>
      <c r="K255" s="25"/>
      <c r="L255" s="25"/>
      <c r="M255" s="25"/>
      <c r="N255" s="25"/>
      <c r="O255" s="25"/>
      <c r="P255" s="25"/>
      <c r="Q255" s="25"/>
      <c r="R255" s="25"/>
      <c r="S255" s="25"/>
      <c r="T255" s="25"/>
      <c r="U255" s="25"/>
      <c r="V255" s="25"/>
      <c r="W255" s="25"/>
      <c r="X255" s="25"/>
      <c r="Y255" s="26"/>
    </row>
    <row r="258" spans="2:25" ht="15.75" thickBot="1" x14ac:dyDescent="0.3"/>
    <row r="259" spans="2:25" x14ac:dyDescent="0.25">
      <c r="B259" s="18"/>
      <c r="C259" s="19"/>
      <c r="D259" s="19"/>
      <c r="E259" s="19"/>
      <c r="F259" s="19"/>
      <c r="G259" s="19"/>
      <c r="H259" s="19"/>
      <c r="I259" s="19"/>
      <c r="J259" s="19"/>
      <c r="K259" s="19"/>
      <c r="L259" s="19"/>
      <c r="M259" s="19"/>
      <c r="N259" s="19"/>
      <c r="O259" s="19"/>
      <c r="P259" s="19"/>
      <c r="Q259" s="19"/>
      <c r="R259" s="19"/>
      <c r="S259" s="19"/>
      <c r="T259" s="19"/>
      <c r="U259" s="19"/>
      <c r="V259" s="19"/>
      <c r="W259" s="19"/>
      <c r="X259" s="19"/>
      <c r="Y259" s="20"/>
    </row>
    <row r="260" spans="2:25" x14ac:dyDescent="0.25">
      <c r="B260" s="21"/>
      <c r="C260" s="6"/>
      <c r="D260" s="6"/>
      <c r="E260" s="6"/>
      <c r="F260" s="6"/>
      <c r="G260" s="6"/>
      <c r="H260" s="6"/>
      <c r="I260" s="6"/>
      <c r="J260" s="6"/>
      <c r="K260" s="6"/>
      <c r="L260" s="741" t="s">
        <v>245</v>
      </c>
      <c r="M260" s="741"/>
      <c r="N260" s="6"/>
      <c r="O260" s="6"/>
      <c r="P260" s="6"/>
      <c r="Q260" s="6"/>
      <c r="R260" s="6"/>
      <c r="S260" s="6"/>
      <c r="T260" s="6"/>
      <c r="U260" s="6"/>
      <c r="V260" s="6"/>
      <c r="W260" s="6"/>
      <c r="X260" s="6"/>
      <c r="Y260" s="22"/>
    </row>
    <row r="261" spans="2:25" x14ac:dyDescent="0.25">
      <c r="B261" s="21"/>
      <c r="C261" s="46" t="s">
        <v>312</v>
      </c>
      <c r="D261" s="6"/>
      <c r="E261" s="6"/>
      <c r="F261" s="6"/>
      <c r="G261" s="6"/>
      <c r="H261" s="6"/>
      <c r="I261" s="6"/>
      <c r="J261" s="6"/>
      <c r="K261" s="6"/>
      <c r="L261" s="6"/>
      <c r="M261" s="6"/>
      <c r="N261" s="6"/>
      <c r="O261" s="6"/>
      <c r="P261" s="6"/>
      <c r="Q261" s="6"/>
      <c r="R261" s="6"/>
      <c r="S261" s="6"/>
      <c r="T261" s="6"/>
      <c r="U261" s="6"/>
      <c r="V261" s="6"/>
      <c r="W261" s="6"/>
      <c r="X261" s="6"/>
      <c r="Y261" s="22"/>
    </row>
    <row r="262" spans="2:25" x14ac:dyDescent="0.25">
      <c r="B262" s="21"/>
      <c r="C262" s="6"/>
      <c r="D262" s="51" t="s">
        <v>321</v>
      </c>
      <c r="E262" s="51"/>
      <c r="F262" s="51"/>
      <c r="G262" s="51"/>
      <c r="H262" s="51"/>
      <c r="I262" s="47"/>
      <c r="J262" s="794"/>
      <c r="K262" s="795"/>
      <c r="L262" s="997">
        <f>IF(J262="",0,IF(J262&lt;2,0,IF(J262=2,1,IF(J262&gt;=3,2,0))))</f>
        <v>0</v>
      </c>
      <c r="M262" s="998"/>
      <c r="N262" s="6"/>
      <c r="O262" s="6"/>
      <c r="P262" s="6"/>
      <c r="Q262" s="6"/>
      <c r="R262" s="6"/>
      <c r="S262" s="6"/>
      <c r="T262" s="6"/>
      <c r="U262" s="6"/>
      <c r="V262" s="6"/>
      <c r="W262" s="6"/>
      <c r="X262" s="6"/>
      <c r="Y262" s="22"/>
    </row>
    <row r="263" spans="2:25" x14ac:dyDescent="0.25">
      <c r="B263" s="21"/>
      <c r="C263" s="6"/>
      <c r="D263" s="6"/>
      <c r="E263" s="6"/>
      <c r="F263" s="6"/>
      <c r="G263" s="6"/>
      <c r="H263" s="6"/>
      <c r="I263" s="6"/>
      <c r="J263" s="6"/>
      <c r="K263" s="6"/>
      <c r="L263" s="6"/>
      <c r="M263" s="6"/>
      <c r="N263" s="6"/>
      <c r="O263" s="6"/>
      <c r="P263" s="6"/>
      <c r="Q263" s="6"/>
      <c r="R263" s="6"/>
      <c r="S263" s="6"/>
      <c r="T263" s="6"/>
      <c r="U263" s="6"/>
      <c r="V263" s="6"/>
      <c r="W263" s="6"/>
      <c r="X263" s="6"/>
      <c r="Y263" s="22"/>
    </row>
    <row r="264" spans="2:25" x14ac:dyDescent="0.25">
      <c r="B264" s="21"/>
      <c r="C264" s="46" t="s">
        <v>322</v>
      </c>
      <c r="D264" s="6"/>
      <c r="E264" s="6"/>
      <c r="F264" s="6"/>
      <c r="G264" s="6"/>
      <c r="H264" s="6"/>
      <c r="I264" s="6"/>
      <c r="J264" s="6"/>
      <c r="K264" s="6"/>
      <c r="L264" s="6"/>
      <c r="M264" s="6"/>
      <c r="N264" s="6"/>
      <c r="O264" s="6"/>
      <c r="P264" s="6"/>
      <c r="Q264" s="6"/>
      <c r="R264" s="6"/>
      <c r="S264" s="6"/>
      <c r="T264" s="6"/>
      <c r="U264" s="6"/>
      <c r="V264" s="6"/>
      <c r="W264" s="6"/>
      <c r="X264" s="6"/>
      <c r="Y264" s="22"/>
    </row>
    <row r="265" spans="2:25" x14ac:dyDescent="0.25">
      <c r="B265" s="21"/>
      <c r="C265" s="6"/>
      <c r="D265" s="51" t="s">
        <v>323</v>
      </c>
      <c r="E265" s="51"/>
      <c r="F265" s="51"/>
      <c r="G265" s="51"/>
      <c r="H265" s="51"/>
      <c r="I265" s="47"/>
      <c r="J265" s="889">
        <f>Biodiversité!I147</f>
        <v>0</v>
      </c>
      <c r="K265" s="888"/>
      <c r="L265" s="6"/>
      <c r="M265" s="6"/>
      <c r="N265" s="6"/>
      <c r="O265" s="6"/>
      <c r="P265" s="6"/>
      <c r="Q265" s="6"/>
      <c r="R265" s="6"/>
      <c r="S265" s="6"/>
      <c r="T265" s="6"/>
      <c r="U265" s="6"/>
      <c r="V265" s="6"/>
      <c r="W265" s="6"/>
      <c r="X265" s="6"/>
      <c r="Y265" s="22"/>
    </row>
    <row r="266" spans="2:25" x14ac:dyDescent="0.25">
      <c r="B266" s="21"/>
      <c r="C266" s="6"/>
      <c r="D266" s="52" t="s">
        <v>324</v>
      </c>
      <c r="E266" s="52"/>
      <c r="F266" s="52"/>
      <c r="G266" s="52"/>
      <c r="H266" s="52"/>
      <c r="I266" s="48"/>
      <c r="J266" s="794"/>
      <c r="K266" s="795"/>
      <c r="L266" s="6"/>
      <c r="M266" s="6"/>
      <c r="N266" s="6"/>
      <c r="O266" s="6"/>
      <c r="P266" s="6"/>
      <c r="Q266" s="6"/>
      <c r="R266" s="6"/>
      <c r="S266" s="6"/>
      <c r="T266" s="6"/>
      <c r="U266" s="6"/>
      <c r="V266" s="6"/>
      <c r="W266" s="6"/>
      <c r="X266" s="6"/>
      <c r="Y266" s="22"/>
    </row>
    <row r="267" spans="2:25" x14ac:dyDescent="0.25">
      <c r="B267" s="21"/>
      <c r="C267" s="6"/>
      <c r="D267" s="52" t="s">
        <v>325</v>
      </c>
      <c r="E267" s="52"/>
      <c r="F267" s="52"/>
      <c r="G267" s="52"/>
      <c r="H267" s="52"/>
      <c r="I267" s="48"/>
      <c r="J267" s="794"/>
      <c r="K267" s="795"/>
      <c r="L267" s="997">
        <f>IFERROR(MIN(J266+(J267*2),6),0)</f>
        <v>0</v>
      </c>
      <c r="M267" s="998"/>
      <c r="N267" s="6"/>
      <c r="O267" s="887" t="str">
        <f>IF(SUM(J266:K267)&gt;J265,"ATTENTION : Problème de cohérence des données","")</f>
        <v/>
      </c>
      <c r="P267" s="887"/>
      <c r="Q267" s="887"/>
      <c r="R267" s="887"/>
      <c r="S267" s="887"/>
      <c r="T267" s="887"/>
      <c r="U267" s="6"/>
      <c r="V267" s="6"/>
      <c r="W267" s="6"/>
      <c r="X267" s="6"/>
      <c r="Y267" s="22"/>
    </row>
    <row r="268" spans="2:25" x14ac:dyDescent="0.25">
      <c r="B268" s="21"/>
      <c r="C268" s="6"/>
      <c r="D268" s="6"/>
      <c r="E268" s="6"/>
      <c r="F268" s="6"/>
      <c r="G268" s="6"/>
      <c r="H268" s="6"/>
      <c r="I268" s="6"/>
      <c r="J268" s="6"/>
      <c r="K268" s="6"/>
      <c r="L268" s="6"/>
      <c r="M268" s="6"/>
      <c r="N268" s="6"/>
      <c r="O268" s="6"/>
      <c r="P268" s="6"/>
      <c r="Q268" s="6"/>
      <c r="R268" s="6"/>
      <c r="S268" s="6"/>
      <c r="T268" s="6"/>
      <c r="U268" s="6"/>
      <c r="V268" s="6"/>
      <c r="W268" s="6"/>
      <c r="X268" s="6"/>
      <c r="Y268" s="22"/>
    </row>
    <row r="269" spans="2:25" x14ac:dyDescent="0.25">
      <c r="B269" s="21"/>
      <c r="C269" s="46" t="s">
        <v>2907</v>
      </c>
      <c r="D269" s="6"/>
      <c r="E269" s="6"/>
      <c r="F269" s="6"/>
      <c r="G269" s="6"/>
      <c r="H269" s="6"/>
      <c r="I269" s="6"/>
      <c r="J269" s="6"/>
      <c r="K269" s="6"/>
      <c r="L269" s="6"/>
      <c r="M269" s="6"/>
      <c r="N269" s="6"/>
      <c r="O269" s="6"/>
      <c r="P269" s="6"/>
      <c r="Q269" s="6"/>
      <c r="R269" s="6"/>
      <c r="S269" s="6"/>
      <c r="T269" s="6"/>
      <c r="U269" s="6"/>
      <c r="V269" s="6"/>
      <c r="W269" s="6"/>
      <c r="X269" s="6"/>
      <c r="Y269" s="22"/>
    </row>
    <row r="270" spans="2:25" x14ac:dyDescent="0.25">
      <c r="B270" s="21"/>
      <c r="C270" s="6"/>
      <c r="D270" s="51" t="s">
        <v>323</v>
      </c>
      <c r="E270" s="51"/>
      <c r="F270" s="51"/>
      <c r="G270" s="51"/>
      <c r="H270" s="51"/>
      <c r="I270" s="47"/>
      <c r="J270" s="889">
        <f>Biodiversité!I145+Biodiversité!I146</f>
        <v>0</v>
      </c>
      <c r="K270" s="888"/>
      <c r="L270" s="6"/>
      <c r="M270" s="6"/>
      <c r="N270" s="6"/>
      <c r="O270" s="6"/>
      <c r="P270" s="6"/>
      <c r="Q270" s="6"/>
      <c r="R270" s="6"/>
      <c r="S270" s="6"/>
      <c r="T270" s="6"/>
      <c r="U270" s="6"/>
      <c r="V270" s="6"/>
      <c r="W270" s="6"/>
      <c r="X270" s="6"/>
      <c r="Y270" s="22"/>
    </row>
    <row r="271" spans="2:25" x14ac:dyDescent="0.25">
      <c r="B271" s="21"/>
      <c r="C271" s="6"/>
      <c r="D271" s="52" t="s">
        <v>324</v>
      </c>
      <c r="E271" s="52"/>
      <c r="F271" s="52"/>
      <c r="G271" s="52"/>
      <c r="H271" s="52"/>
      <c r="I271" s="48"/>
      <c r="J271" s="794"/>
      <c r="K271" s="795"/>
      <c r="L271" s="6"/>
      <c r="M271" s="6"/>
      <c r="N271" s="6"/>
      <c r="O271" s="6"/>
      <c r="P271" s="6"/>
      <c r="Q271" s="6"/>
      <c r="R271" s="6"/>
      <c r="S271" s="6"/>
      <c r="T271" s="6"/>
      <c r="U271" s="6"/>
      <c r="V271" s="6"/>
      <c r="W271" s="6"/>
      <c r="X271" s="6"/>
      <c r="Y271" s="22"/>
    </row>
    <row r="272" spans="2:25" x14ac:dyDescent="0.25">
      <c r="B272" s="21"/>
      <c r="C272" s="6"/>
      <c r="D272" s="52" t="s">
        <v>325</v>
      </c>
      <c r="E272" s="52"/>
      <c r="F272" s="52"/>
      <c r="G272" s="52"/>
      <c r="H272" s="52"/>
      <c r="I272" s="48"/>
      <c r="J272" s="794"/>
      <c r="K272" s="795"/>
      <c r="L272" s="997">
        <f>IFERROR(MIN(J271+(J272*2),6),0)</f>
        <v>0</v>
      </c>
      <c r="M272" s="998"/>
      <c r="N272" s="6"/>
      <c r="O272" s="887" t="str">
        <f>IF(SUM(J271:K272)&gt;J270,"ATTENTION : Problème de cohérence des données","")</f>
        <v/>
      </c>
      <c r="P272" s="887"/>
      <c r="Q272" s="887"/>
      <c r="R272" s="887"/>
      <c r="S272" s="887"/>
      <c r="T272" s="887"/>
      <c r="U272" s="6"/>
      <c r="V272" s="6"/>
      <c r="W272" s="6"/>
      <c r="X272" s="6"/>
      <c r="Y272" s="22"/>
    </row>
    <row r="273" spans="2:25" x14ac:dyDescent="0.25">
      <c r="B273" s="21"/>
      <c r="C273" s="6"/>
      <c r="D273" s="6"/>
      <c r="E273" s="6"/>
      <c r="F273" s="6"/>
      <c r="G273" s="6"/>
      <c r="H273" s="6"/>
      <c r="I273" s="6"/>
      <c r="J273" s="6"/>
      <c r="K273" s="6"/>
      <c r="L273" s="6"/>
      <c r="M273" s="6"/>
      <c r="N273" s="6"/>
      <c r="P273" s="6"/>
      <c r="Q273" s="6"/>
      <c r="R273" s="6"/>
      <c r="S273" s="6"/>
      <c r="T273" s="6"/>
      <c r="U273" s="6"/>
      <c r="V273" s="6"/>
      <c r="W273" s="6"/>
      <c r="X273" s="6"/>
      <c r="Y273" s="22"/>
    </row>
    <row r="274" spans="2:25" x14ac:dyDescent="0.25">
      <c r="B274" s="21"/>
      <c r="C274" s="46" t="s">
        <v>128</v>
      </c>
      <c r="D274" s="6"/>
      <c r="E274" s="6"/>
      <c r="F274" s="6"/>
      <c r="G274" s="6"/>
      <c r="H274" s="6"/>
      <c r="I274" s="6"/>
      <c r="J274" s="6"/>
      <c r="K274" s="6"/>
      <c r="L274" s="6"/>
      <c r="M274" s="6"/>
      <c r="N274" s="6"/>
      <c r="O274" s="6"/>
      <c r="P274" s="6"/>
      <c r="Q274" s="6"/>
      <c r="R274" s="6"/>
      <c r="S274" s="6"/>
      <c r="T274" s="6"/>
      <c r="U274" s="6"/>
      <c r="V274" s="6"/>
      <c r="W274" s="6"/>
      <c r="X274" s="6"/>
      <c r="Y274" s="22"/>
    </row>
    <row r="275" spans="2:25" x14ac:dyDescent="0.25">
      <c r="B275" s="21"/>
      <c r="C275" s="6"/>
      <c r="D275" s="51" t="s">
        <v>323</v>
      </c>
      <c r="E275" s="51"/>
      <c r="F275" s="51"/>
      <c r="G275" s="51"/>
      <c r="H275" s="51"/>
      <c r="I275" s="47"/>
      <c r="J275" s="889">
        <f>Biodiversité!I148</f>
        <v>0</v>
      </c>
      <c r="K275" s="888"/>
      <c r="L275" s="6"/>
      <c r="M275" s="6"/>
      <c r="N275" s="6"/>
      <c r="O275" s="6"/>
      <c r="P275" s="6"/>
      <c r="Q275" s="6"/>
      <c r="R275" s="6"/>
      <c r="S275" s="6"/>
      <c r="T275" s="6"/>
      <c r="U275" s="6"/>
      <c r="V275" s="6"/>
      <c r="W275" s="6"/>
      <c r="X275" s="6"/>
      <c r="Y275" s="22"/>
    </row>
    <row r="276" spans="2:25" x14ac:dyDescent="0.25">
      <c r="B276" s="21"/>
      <c r="C276" s="6"/>
      <c r="D276" s="52" t="s">
        <v>324</v>
      </c>
      <c r="E276" s="52"/>
      <c r="F276" s="52"/>
      <c r="G276" s="52"/>
      <c r="H276" s="52"/>
      <c r="I276" s="48"/>
      <c r="J276" s="794"/>
      <c r="K276" s="795"/>
      <c r="L276" s="6"/>
      <c r="M276" s="6"/>
      <c r="N276" s="6"/>
      <c r="O276" s="6"/>
      <c r="P276" s="6"/>
      <c r="Q276" s="6"/>
      <c r="R276" s="6"/>
      <c r="S276" s="6"/>
      <c r="T276" s="6"/>
      <c r="U276" s="6"/>
      <c r="V276" s="6"/>
      <c r="W276" s="6"/>
      <c r="X276" s="6"/>
      <c r="Y276" s="22"/>
    </row>
    <row r="277" spans="2:25" x14ac:dyDescent="0.25">
      <c r="B277" s="21"/>
      <c r="C277" s="6"/>
      <c r="D277" s="52" t="s">
        <v>325</v>
      </c>
      <c r="E277" s="52"/>
      <c r="F277" s="52"/>
      <c r="G277" s="52"/>
      <c r="H277" s="52"/>
      <c r="I277" s="48"/>
      <c r="J277" s="794"/>
      <c r="K277" s="795"/>
      <c r="L277" s="997">
        <f>IFERROR(MIN(J276+(J277*2),6),0)</f>
        <v>0</v>
      </c>
      <c r="M277" s="998"/>
      <c r="N277" s="6"/>
      <c r="O277" s="887" t="str">
        <f>IF(SUM(J276:K277)&gt;J275,"ATTENTION : Problème de cohérence des données","")</f>
        <v/>
      </c>
      <c r="P277" s="887"/>
      <c r="Q277" s="887"/>
      <c r="R277" s="887"/>
      <c r="S277" s="887"/>
      <c r="T277" s="887"/>
      <c r="U277" s="6"/>
      <c r="V277" s="6"/>
      <c r="W277" s="6"/>
      <c r="X277" s="6"/>
      <c r="Y277" s="22"/>
    </row>
    <row r="278" spans="2:25" x14ac:dyDescent="0.25">
      <c r="B278" s="21"/>
      <c r="C278" s="6"/>
      <c r="D278" s="6"/>
      <c r="E278" s="6"/>
      <c r="F278" s="6"/>
      <c r="G278" s="6"/>
      <c r="H278" s="6"/>
      <c r="I278" s="6"/>
      <c r="J278" s="6"/>
      <c r="K278" s="6"/>
      <c r="L278" s="6"/>
      <c r="M278" s="6"/>
      <c r="N278" s="6"/>
      <c r="O278" s="6"/>
      <c r="P278" s="6"/>
      <c r="Q278" s="6"/>
      <c r="R278" s="6"/>
      <c r="S278" s="6"/>
      <c r="T278" s="6"/>
      <c r="U278" s="6"/>
      <c r="V278" s="6"/>
      <c r="W278" s="6"/>
      <c r="X278" s="6"/>
      <c r="Y278" s="22"/>
    </row>
    <row r="279" spans="2:25" x14ac:dyDescent="0.25">
      <c r="B279" s="21"/>
      <c r="C279" s="6"/>
      <c r="D279" s="6"/>
      <c r="E279" s="6"/>
      <c r="F279" s="6"/>
      <c r="G279" s="6"/>
      <c r="H279" s="6"/>
      <c r="I279" s="6"/>
      <c r="J279" s="6"/>
      <c r="K279" s="6"/>
      <c r="L279" s="6"/>
      <c r="M279" s="6"/>
      <c r="N279" s="6"/>
      <c r="O279" s="6"/>
      <c r="P279" s="6"/>
      <c r="Q279" s="6"/>
      <c r="R279" s="6"/>
      <c r="S279" s="6"/>
      <c r="T279" s="6"/>
      <c r="U279" s="6"/>
      <c r="V279" s="6"/>
      <c r="W279" s="6"/>
      <c r="X279" s="6"/>
      <c r="Y279" s="22"/>
    </row>
    <row r="280" spans="2:25" x14ac:dyDescent="0.25">
      <c r="B280" s="21"/>
      <c r="C280" s="46"/>
      <c r="D280" s="186" t="s">
        <v>304</v>
      </c>
      <c r="E280" s="86"/>
      <c r="F280" s="86"/>
      <c r="G280" s="86"/>
      <c r="H280" s="86"/>
      <c r="I280" s="119"/>
      <c r="J280" s="878">
        <f>Surfaces!O24</f>
        <v>10</v>
      </c>
      <c r="K280" s="888"/>
      <c r="L280" s="993"/>
      <c r="M280" s="994"/>
      <c r="N280" s="6"/>
      <c r="O280" s="6"/>
      <c r="P280" s="6"/>
      <c r="Q280" s="6"/>
      <c r="R280" s="6"/>
      <c r="S280" s="6"/>
      <c r="T280" s="6"/>
      <c r="U280" s="6"/>
      <c r="V280" s="6"/>
      <c r="W280" s="6"/>
      <c r="X280" s="6"/>
      <c r="Y280" s="22"/>
    </row>
    <row r="281" spans="2:25" x14ac:dyDescent="0.25">
      <c r="B281" s="21"/>
      <c r="C281" s="46"/>
      <c r="D281" s="184" t="s">
        <v>600</v>
      </c>
      <c r="E281" s="87"/>
      <c r="F281" s="87"/>
      <c r="G281" s="87"/>
      <c r="H281" s="87"/>
      <c r="I281" s="120"/>
      <c r="J281" s="874">
        <f>IFERROR(Surfaces!O141/J280,0)</f>
        <v>0</v>
      </c>
      <c r="K281" s="875"/>
      <c r="L281" s="995">
        <f>IFERROR(L262*J281,0)</f>
        <v>0</v>
      </c>
      <c r="M281" s="996"/>
      <c r="N281" s="6"/>
      <c r="O281" s="6"/>
      <c r="P281" s="6"/>
      <c r="Q281" s="6"/>
      <c r="R281" s="6"/>
      <c r="S281" s="6"/>
      <c r="T281" s="6"/>
      <c r="U281" s="6"/>
      <c r="V281" s="6"/>
      <c r="W281" s="6"/>
      <c r="X281" s="6"/>
      <c r="Y281" s="22"/>
    </row>
    <row r="282" spans="2:25" x14ac:dyDescent="0.25">
      <c r="B282" s="21"/>
      <c r="C282" s="46"/>
      <c r="D282" s="184" t="s">
        <v>911</v>
      </c>
      <c r="E282" s="87"/>
      <c r="F282" s="87"/>
      <c r="G282" s="87"/>
      <c r="H282" s="87"/>
      <c r="I282" s="120"/>
      <c r="J282" s="874">
        <f>IFERROR(SUM(Surfaces!O143:O159)/Phyto!J280,0)</f>
        <v>0</v>
      </c>
      <c r="K282" s="875"/>
      <c r="L282" s="995">
        <f>IFERROR(L267*J282,0)</f>
        <v>0</v>
      </c>
      <c r="M282" s="996"/>
      <c r="N282" s="6"/>
      <c r="O282" s="6"/>
      <c r="P282" s="6"/>
      <c r="Q282" s="6"/>
      <c r="R282" s="6"/>
      <c r="S282" s="6"/>
      <c r="T282" s="6"/>
      <c r="U282" s="6"/>
      <c r="V282" s="6"/>
      <c r="W282" s="6"/>
      <c r="X282" s="6"/>
      <c r="Y282" s="22"/>
    </row>
    <row r="283" spans="2:25" x14ac:dyDescent="0.25">
      <c r="B283" s="21"/>
      <c r="C283" s="46"/>
      <c r="D283" s="184" t="s">
        <v>2585</v>
      </c>
      <c r="E283" s="87"/>
      <c r="F283" s="87"/>
      <c r="G283" s="87"/>
      <c r="H283" s="87"/>
      <c r="I283" s="120"/>
      <c r="J283" s="874">
        <f>IFERROR(SUM(Surfaces!O133:O135)/Phyto!J280,0)</f>
        <v>0</v>
      </c>
      <c r="K283" s="875"/>
      <c r="L283" s="995">
        <f>IFERROR(L272*J283,0)</f>
        <v>0</v>
      </c>
      <c r="M283" s="996"/>
      <c r="N283" s="6"/>
      <c r="O283" s="6"/>
      <c r="P283" s="6"/>
      <c r="Q283" s="6"/>
      <c r="R283" s="6"/>
      <c r="S283" s="6"/>
      <c r="T283" s="6"/>
      <c r="U283" s="6"/>
      <c r="V283" s="6"/>
      <c r="W283" s="6"/>
      <c r="X283" s="6"/>
      <c r="Y283" s="22"/>
    </row>
    <row r="284" spans="2:25" x14ac:dyDescent="0.25">
      <c r="B284" s="21"/>
      <c r="C284" s="46"/>
      <c r="D284" s="184" t="s">
        <v>912</v>
      </c>
      <c r="E284" s="87"/>
      <c r="F284" s="87"/>
      <c r="G284" s="87"/>
      <c r="H284" s="87"/>
      <c r="I284" s="120"/>
      <c r="J284" s="874">
        <f>IFERROR(Surfaces!O136/Phyto!J280,0)</f>
        <v>0</v>
      </c>
      <c r="K284" s="875"/>
      <c r="L284" s="995">
        <f>IFERROR(L277*J284,0)</f>
        <v>0</v>
      </c>
      <c r="M284" s="996"/>
      <c r="N284" s="6"/>
      <c r="O284" s="6"/>
      <c r="P284" s="6"/>
      <c r="Q284" s="6"/>
      <c r="R284" s="6"/>
      <c r="S284" s="6"/>
      <c r="T284" s="6"/>
      <c r="U284" s="6"/>
      <c r="V284" s="6"/>
      <c r="W284" s="6"/>
      <c r="X284" s="6"/>
      <c r="Y284" s="22"/>
    </row>
    <row r="285" spans="2:25" x14ac:dyDescent="0.25">
      <c r="B285" s="21"/>
      <c r="C285" s="6"/>
      <c r="D285" s="6"/>
      <c r="E285" s="6"/>
      <c r="F285" s="6"/>
      <c r="G285" s="6"/>
      <c r="H285" s="6"/>
      <c r="I285" s="6"/>
      <c r="J285" s="6"/>
      <c r="K285" s="6"/>
      <c r="L285" s="992"/>
      <c r="M285" s="992"/>
      <c r="N285" s="6"/>
      <c r="O285" s="6"/>
      <c r="P285" s="6"/>
      <c r="Q285" s="6"/>
      <c r="R285" s="6"/>
      <c r="S285" s="6"/>
      <c r="T285" s="6"/>
      <c r="U285" s="6"/>
      <c r="V285" s="6"/>
      <c r="W285" s="770" t="s">
        <v>723</v>
      </c>
      <c r="X285" s="770"/>
      <c r="Y285" s="22"/>
    </row>
    <row r="286" spans="2:25" x14ac:dyDescent="0.25">
      <c r="B286" s="21"/>
      <c r="C286" s="6"/>
      <c r="D286" s="168" t="s">
        <v>427</v>
      </c>
      <c r="E286" s="44"/>
      <c r="F286" s="44"/>
      <c r="G286" s="44"/>
      <c r="H286" s="44"/>
      <c r="I286" s="44"/>
      <c r="J286" s="169"/>
      <c r="K286" s="170"/>
      <c r="L286" s="806">
        <f>IFERROR(IF(cCMR1=0,0,IF(cSAU=0,0,SUM(L281:M284))),0)</f>
        <v>0</v>
      </c>
      <c r="M286" s="807"/>
      <c r="N286" s="6" t="s">
        <v>390</v>
      </c>
      <c r="O286" s="6"/>
      <c r="P286" s="6"/>
      <c r="Q286" s="6"/>
      <c r="R286" s="6"/>
      <c r="S286" s="6"/>
      <c r="T286" s="6"/>
      <c r="U286" s="6"/>
      <c r="V286" s="6"/>
      <c r="W286" s="771">
        <f>IF(cSAU = 0,6,(2*J281)+(6*(J282+J283+J284)))</f>
        <v>0</v>
      </c>
      <c r="X286" s="772"/>
      <c r="Y286" s="22"/>
    </row>
    <row r="287" spans="2:25" x14ac:dyDescent="0.25">
      <c r="B287" s="21"/>
      <c r="C287" s="6"/>
      <c r="D287" s="167"/>
      <c r="E287" s="6"/>
      <c r="F287" s="6"/>
      <c r="G287" s="6"/>
      <c r="H287" s="6"/>
      <c r="I287" s="6"/>
      <c r="J287" s="166"/>
      <c r="K287" s="166"/>
      <c r="L287" s="77"/>
      <c r="M287" s="77"/>
      <c r="N287" s="6"/>
      <c r="O287" s="6"/>
      <c r="P287" s="6"/>
      <c r="Q287" s="6"/>
      <c r="R287" s="6"/>
      <c r="S287" s="6"/>
      <c r="T287" s="6"/>
      <c r="U287" s="6"/>
      <c r="V287" s="6"/>
      <c r="W287" s="6"/>
      <c r="X287" s="6"/>
      <c r="Y287" s="22"/>
    </row>
    <row r="288" spans="2:25" x14ac:dyDescent="0.25">
      <c r="B288" s="21"/>
      <c r="C288" s="6"/>
      <c r="D288" s="167"/>
      <c r="E288" s="6"/>
      <c r="F288" s="6"/>
      <c r="G288" s="6"/>
      <c r="H288" s="6"/>
      <c r="I288" s="6"/>
      <c r="J288" s="166"/>
      <c r="K288" s="166"/>
      <c r="L288" s="77"/>
      <c r="M288" s="77"/>
      <c r="N288" s="6"/>
      <c r="O288" s="6"/>
      <c r="P288" s="6"/>
      <c r="Q288" s="6"/>
      <c r="R288" s="6"/>
      <c r="S288" s="6"/>
      <c r="T288" s="6"/>
      <c r="U288" s="6"/>
      <c r="V288" s="6"/>
      <c r="W288" s="6"/>
      <c r="X288" s="6"/>
      <c r="Y288" s="22"/>
    </row>
    <row r="289" spans="2:25" x14ac:dyDescent="0.25">
      <c r="B289" s="21"/>
      <c r="C289" s="6"/>
      <c r="D289" s="102" t="s">
        <v>2532</v>
      </c>
      <c r="E289" s="6"/>
      <c r="F289" s="6"/>
      <c r="G289" s="6"/>
      <c r="H289" s="6"/>
      <c r="I289" s="6"/>
      <c r="J289" s="6"/>
      <c r="K289" s="6"/>
      <c r="L289" s="6"/>
      <c r="M289" s="6"/>
      <c r="N289" s="6"/>
      <c r="O289" s="6"/>
      <c r="P289" s="6"/>
      <c r="Q289" s="6"/>
      <c r="R289" s="6"/>
      <c r="S289" s="6"/>
      <c r="T289" s="6"/>
      <c r="U289" s="6"/>
      <c r="V289" s="6"/>
      <c r="W289" s="6"/>
      <c r="X289" s="6"/>
      <c r="Y289" s="22"/>
    </row>
    <row r="290" spans="2:25" x14ac:dyDescent="0.25">
      <c r="B290" s="21"/>
      <c r="C290" s="6"/>
      <c r="D290" s="757"/>
      <c r="E290" s="758"/>
      <c r="F290" s="758"/>
      <c r="G290" s="758"/>
      <c r="H290" s="758"/>
      <c r="I290" s="758"/>
      <c r="J290" s="758"/>
      <c r="K290" s="758"/>
      <c r="L290" s="758"/>
      <c r="M290" s="758"/>
      <c r="N290" s="758"/>
      <c r="O290" s="758"/>
      <c r="P290" s="758"/>
      <c r="Q290" s="758"/>
      <c r="R290" s="758"/>
      <c r="S290" s="758"/>
      <c r="T290" s="758"/>
      <c r="U290" s="758"/>
      <c r="V290" s="758"/>
      <c r="W290" s="758"/>
      <c r="X290" s="759"/>
      <c r="Y290" s="22"/>
    </row>
    <row r="291" spans="2:25" x14ac:dyDescent="0.25">
      <c r="B291" s="21"/>
      <c r="C291" s="6"/>
      <c r="D291" s="760"/>
      <c r="E291" s="761"/>
      <c r="F291" s="761"/>
      <c r="G291" s="761"/>
      <c r="H291" s="761"/>
      <c r="I291" s="761"/>
      <c r="J291" s="761"/>
      <c r="K291" s="761"/>
      <c r="L291" s="761"/>
      <c r="M291" s="761"/>
      <c r="N291" s="761"/>
      <c r="O291" s="761"/>
      <c r="P291" s="761"/>
      <c r="Q291" s="761"/>
      <c r="R291" s="761"/>
      <c r="S291" s="761"/>
      <c r="T291" s="761"/>
      <c r="U291" s="761"/>
      <c r="V291" s="761"/>
      <c r="W291" s="761"/>
      <c r="X291" s="762"/>
      <c r="Y291" s="22"/>
    </row>
    <row r="292" spans="2:25" x14ac:dyDescent="0.25">
      <c r="B292" s="21"/>
      <c r="C292" s="6"/>
      <c r="D292" s="760"/>
      <c r="E292" s="761"/>
      <c r="F292" s="761"/>
      <c r="G292" s="761"/>
      <c r="H292" s="761"/>
      <c r="I292" s="761"/>
      <c r="J292" s="761"/>
      <c r="K292" s="761"/>
      <c r="L292" s="761"/>
      <c r="M292" s="761"/>
      <c r="N292" s="761"/>
      <c r="O292" s="761"/>
      <c r="P292" s="761"/>
      <c r="Q292" s="761"/>
      <c r="R292" s="761"/>
      <c r="S292" s="761"/>
      <c r="T292" s="761"/>
      <c r="U292" s="761"/>
      <c r="V292" s="761"/>
      <c r="W292" s="761"/>
      <c r="X292" s="762"/>
      <c r="Y292" s="22"/>
    </row>
    <row r="293" spans="2:25" x14ac:dyDescent="0.25">
      <c r="B293" s="21"/>
      <c r="C293" s="6"/>
      <c r="D293" s="760"/>
      <c r="E293" s="761"/>
      <c r="F293" s="761"/>
      <c r="G293" s="761"/>
      <c r="H293" s="761"/>
      <c r="I293" s="761"/>
      <c r="J293" s="761"/>
      <c r="K293" s="761"/>
      <c r="L293" s="761"/>
      <c r="M293" s="761"/>
      <c r="N293" s="761"/>
      <c r="O293" s="761"/>
      <c r="P293" s="761"/>
      <c r="Q293" s="761"/>
      <c r="R293" s="761"/>
      <c r="S293" s="761"/>
      <c r="T293" s="761"/>
      <c r="U293" s="761"/>
      <c r="V293" s="761"/>
      <c r="W293" s="761"/>
      <c r="X293" s="762"/>
      <c r="Y293" s="22"/>
    </row>
    <row r="294" spans="2:25" x14ac:dyDescent="0.25">
      <c r="B294" s="21"/>
      <c r="C294" s="6"/>
      <c r="D294" s="763"/>
      <c r="E294" s="764"/>
      <c r="F294" s="764"/>
      <c r="G294" s="764"/>
      <c r="H294" s="764"/>
      <c r="I294" s="764"/>
      <c r="J294" s="764"/>
      <c r="K294" s="764"/>
      <c r="L294" s="764"/>
      <c r="M294" s="764"/>
      <c r="N294" s="764"/>
      <c r="O294" s="764"/>
      <c r="P294" s="764"/>
      <c r="Q294" s="764"/>
      <c r="R294" s="764"/>
      <c r="S294" s="764"/>
      <c r="T294" s="764"/>
      <c r="U294" s="764"/>
      <c r="V294" s="764"/>
      <c r="W294" s="764"/>
      <c r="X294" s="765"/>
      <c r="Y294" s="22"/>
    </row>
    <row r="295" spans="2:25" x14ac:dyDescent="0.25">
      <c r="B295" s="21"/>
      <c r="C295" s="6"/>
      <c r="D295" s="167"/>
      <c r="E295" s="6"/>
      <c r="F295" s="6"/>
      <c r="G295" s="6"/>
      <c r="H295" s="6"/>
      <c r="I295" s="6"/>
      <c r="J295" s="166"/>
      <c r="K295" s="166"/>
      <c r="L295" s="77"/>
      <c r="M295" s="77"/>
      <c r="N295" s="6"/>
      <c r="O295" s="6"/>
      <c r="P295" s="6"/>
      <c r="Q295" s="6"/>
      <c r="R295" s="6"/>
      <c r="S295" s="6"/>
      <c r="T295" s="6"/>
      <c r="U295" s="6"/>
      <c r="V295" s="6"/>
      <c r="W295" s="6"/>
      <c r="X295" s="6"/>
      <c r="Y295" s="22"/>
    </row>
    <row r="296" spans="2:25" ht="15.75" thickBot="1" x14ac:dyDescent="0.3">
      <c r="B296" s="24"/>
      <c r="C296" s="25"/>
      <c r="D296" s="25"/>
      <c r="E296" s="25"/>
      <c r="F296" s="25"/>
      <c r="G296" s="25"/>
      <c r="H296" s="25"/>
      <c r="I296" s="25"/>
      <c r="J296" s="25"/>
      <c r="K296" s="25"/>
      <c r="L296" s="25"/>
      <c r="M296" s="25"/>
      <c r="N296" s="25"/>
      <c r="O296" s="25"/>
      <c r="P296" s="25"/>
      <c r="Q296" s="25"/>
      <c r="R296" s="25"/>
      <c r="S296" s="25"/>
      <c r="T296" s="25"/>
      <c r="U296" s="25"/>
      <c r="V296" s="25"/>
      <c r="W296" s="25"/>
      <c r="X296" s="25"/>
      <c r="Y296" s="26"/>
    </row>
    <row r="299" spans="2:25" ht="15.75" thickBot="1" x14ac:dyDescent="0.3"/>
    <row r="300" spans="2:25" x14ac:dyDescent="0.25">
      <c r="B300" s="18"/>
      <c r="C300" s="19"/>
      <c r="D300" s="19"/>
      <c r="E300" s="19"/>
      <c r="F300" s="19"/>
      <c r="G300" s="19"/>
      <c r="H300" s="19"/>
      <c r="I300" s="19"/>
      <c r="J300" s="19"/>
      <c r="K300" s="19"/>
      <c r="L300" s="19"/>
      <c r="M300" s="19"/>
      <c r="N300" s="19"/>
      <c r="O300" s="19"/>
      <c r="P300" s="19"/>
      <c r="Q300" s="19"/>
      <c r="R300" s="19"/>
      <c r="S300" s="19"/>
      <c r="T300" s="19"/>
      <c r="U300" s="19"/>
      <c r="V300" s="19"/>
      <c r="W300" s="19"/>
      <c r="X300" s="19"/>
      <c r="Y300" s="20"/>
    </row>
    <row r="301" spans="2:25" x14ac:dyDescent="0.25">
      <c r="B301" s="21"/>
      <c r="C301" s="6"/>
      <c r="D301" s="6"/>
      <c r="E301" s="6"/>
      <c r="F301" s="6"/>
      <c r="G301" s="6"/>
      <c r="H301" s="6"/>
      <c r="I301" s="6"/>
      <c r="J301" s="6"/>
      <c r="K301" s="6"/>
      <c r="L301" s="6"/>
      <c r="M301" s="6"/>
      <c r="N301" s="6"/>
      <c r="O301" s="6"/>
      <c r="P301" s="6"/>
      <c r="Q301" s="6"/>
      <c r="R301" s="6"/>
      <c r="S301" s="6"/>
      <c r="T301" s="6"/>
      <c r="U301" s="6"/>
      <c r="V301" s="6"/>
      <c r="W301" s="6"/>
      <c r="X301" s="6"/>
      <c r="Y301" s="22"/>
    </row>
    <row r="302" spans="2:25" x14ac:dyDescent="0.25">
      <c r="B302" s="21"/>
      <c r="C302" s="960" t="s">
        <v>2535</v>
      </c>
      <c r="D302" s="960"/>
      <c r="E302" s="960"/>
      <c r="F302" s="960"/>
      <c r="G302" s="960"/>
      <c r="H302" s="960"/>
      <c r="I302" s="960"/>
      <c r="J302" s="960"/>
      <c r="K302" s="960"/>
      <c r="L302" s="960"/>
      <c r="M302" s="960"/>
      <c r="N302" s="960"/>
      <c r="O302" s="960"/>
      <c r="P302" s="960"/>
      <c r="Q302" s="960"/>
      <c r="R302" s="960"/>
      <c r="S302" s="960"/>
      <c r="T302" s="960"/>
      <c r="U302" s="6"/>
      <c r="V302" s="6"/>
      <c r="W302" s="6"/>
      <c r="X302" s="6"/>
      <c r="Y302" s="22"/>
    </row>
    <row r="303" spans="2:25" x14ac:dyDescent="0.25">
      <c r="B303" s="21"/>
      <c r="C303" s="960"/>
      <c r="D303" s="960"/>
      <c r="E303" s="960"/>
      <c r="F303" s="960"/>
      <c r="G303" s="960"/>
      <c r="H303" s="960"/>
      <c r="I303" s="960"/>
      <c r="J303" s="960"/>
      <c r="K303" s="960"/>
      <c r="L303" s="960"/>
      <c r="M303" s="960"/>
      <c r="N303" s="960"/>
      <c r="O303" s="960"/>
      <c r="P303" s="960"/>
      <c r="Q303" s="960"/>
      <c r="R303" s="960"/>
      <c r="S303" s="960"/>
      <c r="T303" s="960"/>
      <c r="U303" s="6"/>
      <c r="V303" s="6"/>
      <c r="W303" s="6"/>
      <c r="X303" s="6"/>
      <c r="Y303" s="22"/>
    </row>
    <row r="304" spans="2:25" x14ac:dyDescent="0.25">
      <c r="B304" s="21"/>
      <c r="C304" s="6"/>
      <c r="D304" s="6"/>
      <c r="E304" s="6"/>
      <c r="F304" s="6"/>
      <c r="G304" s="6"/>
      <c r="H304" s="6"/>
      <c r="I304" s="6"/>
      <c r="J304" s="884" t="s">
        <v>258</v>
      </c>
      <c r="K304" s="884"/>
      <c r="L304" s="6"/>
      <c r="M304" s="6"/>
      <c r="N304" s="6"/>
      <c r="O304" s="6"/>
      <c r="P304" s="6"/>
      <c r="Q304" s="6"/>
      <c r="R304" s="6"/>
      <c r="S304" s="6"/>
      <c r="T304" s="6"/>
      <c r="U304" s="6"/>
      <c r="V304" s="6"/>
      <c r="W304" s="6"/>
      <c r="X304" s="6"/>
      <c r="Y304" s="22"/>
    </row>
    <row r="305" spans="2:25" x14ac:dyDescent="0.25">
      <c r="B305" s="21"/>
      <c r="C305" s="51" t="s">
        <v>2370</v>
      </c>
      <c r="D305" s="51"/>
      <c r="E305" s="51"/>
      <c r="F305" s="51"/>
      <c r="G305" s="51"/>
      <c r="H305" s="51"/>
      <c r="I305" s="47"/>
      <c r="J305" s="882"/>
      <c r="K305" s="883"/>
      <c r="L305" s="6"/>
      <c r="M305" s="173" t="str">
        <f>IF(J305&gt;J312,"Attention : surface saisie &gt; surface en vignes","")</f>
        <v/>
      </c>
      <c r="N305" s="6"/>
      <c r="O305" s="6"/>
      <c r="P305" s="6"/>
      <c r="Q305" s="6"/>
      <c r="R305" s="6"/>
      <c r="S305" s="6"/>
      <c r="T305" s="6"/>
      <c r="U305" s="6"/>
      <c r="V305" s="6"/>
      <c r="W305" s="6"/>
      <c r="X305" s="6"/>
      <c r="Y305" s="22"/>
    </row>
    <row r="306" spans="2:25" x14ac:dyDescent="0.25">
      <c r="B306" s="21"/>
      <c r="C306" s="52" t="s">
        <v>2371</v>
      </c>
      <c r="D306" s="52"/>
      <c r="E306" s="52"/>
      <c r="F306" s="52"/>
      <c r="G306" s="52"/>
      <c r="H306" s="52"/>
      <c r="I306" s="48"/>
      <c r="J306" s="882"/>
      <c r="K306" s="883"/>
      <c r="L306" s="6"/>
      <c r="M306" s="173" t="str">
        <f>IF(J306&gt;J313,"Attention : surface saisie &gt; surface en arboriculture et autres cultures pérennes","")</f>
        <v/>
      </c>
      <c r="N306" s="6"/>
      <c r="O306" s="6"/>
      <c r="P306" s="6"/>
      <c r="Q306" s="6"/>
      <c r="R306" s="6"/>
      <c r="S306" s="6"/>
      <c r="T306" s="6"/>
      <c r="U306" s="6"/>
      <c r="V306" s="6"/>
      <c r="W306" s="6"/>
      <c r="X306" s="6"/>
      <c r="Y306" s="22"/>
    </row>
    <row r="307" spans="2:25" x14ac:dyDescent="0.25">
      <c r="B307" s="21"/>
      <c r="C307" s="52" t="s">
        <v>2436</v>
      </c>
      <c r="D307" s="52"/>
      <c r="E307" s="52"/>
      <c r="F307" s="52"/>
      <c r="G307" s="52"/>
      <c r="H307" s="52"/>
      <c r="I307" s="48"/>
      <c r="J307" s="882"/>
      <c r="K307" s="883"/>
      <c r="L307" s="6"/>
      <c r="M307" s="173" t="str">
        <f>IF(J307&gt;J314,"Attention : surface saisie &gt; surface en horticulture-pépinière de pleine terre","")</f>
        <v/>
      </c>
      <c r="N307" s="6"/>
      <c r="O307" s="6"/>
      <c r="P307" s="6"/>
      <c r="Q307" s="6"/>
      <c r="R307" s="6"/>
      <c r="S307" s="6"/>
      <c r="T307" s="6"/>
      <c r="U307" s="6"/>
      <c r="V307" s="6"/>
      <c r="W307" s="6"/>
      <c r="X307" s="6"/>
      <c r="Y307" s="22"/>
    </row>
    <row r="308" spans="2:25" x14ac:dyDescent="0.25">
      <c r="B308" s="21"/>
      <c r="C308" s="6"/>
      <c r="D308" s="6"/>
      <c r="E308" s="6"/>
      <c r="F308" s="6"/>
      <c r="G308" s="6"/>
      <c r="H308" s="6"/>
      <c r="I308" s="6"/>
      <c r="J308" s="6"/>
      <c r="K308" s="6"/>
      <c r="L308" s="6"/>
      <c r="M308" s="6"/>
      <c r="N308" s="6"/>
      <c r="O308" s="6"/>
      <c r="P308" s="6"/>
      <c r="Q308" s="6"/>
      <c r="R308" s="6"/>
      <c r="S308" s="6"/>
      <c r="T308" s="6"/>
      <c r="U308" s="6"/>
      <c r="V308" s="6"/>
      <c r="W308" s="6"/>
      <c r="X308" s="6"/>
      <c r="Y308" s="22"/>
    </row>
    <row r="309" spans="2:25" x14ac:dyDescent="0.25">
      <c r="B309" s="21"/>
      <c r="C309" s="6"/>
      <c r="D309" s="6"/>
      <c r="E309" s="6"/>
      <c r="F309" s="6"/>
      <c r="G309" s="6"/>
      <c r="H309" s="6"/>
      <c r="I309" s="6"/>
      <c r="J309" s="6"/>
      <c r="K309" s="6"/>
      <c r="L309" s="6"/>
      <c r="M309" s="6"/>
      <c r="N309" s="6"/>
      <c r="O309" s="6"/>
      <c r="P309" s="6"/>
      <c r="Q309" s="6"/>
      <c r="R309" s="6"/>
      <c r="S309" s="6"/>
      <c r="T309" s="6"/>
      <c r="U309" s="6"/>
      <c r="V309" s="6"/>
      <c r="W309" s="6"/>
      <c r="X309" s="6"/>
      <c r="Y309" s="22"/>
    </row>
    <row r="310" spans="2:25" x14ac:dyDescent="0.25">
      <c r="B310" s="21"/>
      <c r="C310" s="46"/>
      <c r="D310" s="6"/>
      <c r="E310" s="6"/>
      <c r="F310" s="6"/>
      <c r="G310" s="6"/>
      <c r="H310" s="6"/>
      <c r="I310" s="6"/>
      <c r="J310" s="6"/>
      <c r="K310" s="6"/>
      <c r="L310" s="741" t="s">
        <v>245</v>
      </c>
      <c r="M310" s="741"/>
      <c r="N310" s="6"/>
      <c r="O310" s="6"/>
      <c r="P310" s="6"/>
      <c r="Q310" s="6"/>
      <c r="R310" s="6"/>
      <c r="S310" s="6"/>
      <c r="T310" s="6"/>
      <c r="U310" s="6"/>
      <c r="V310" s="6"/>
      <c r="W310" s="6"/>
      <c r="X310" s="6"/>
      <c r="Y310" s="22"/>
    </row>
    <row r="311" spans="2:25" x14ac:dyDescent="0.25">
      <c r="B311" s="21"/>
      <c r="C311" s="6"/>
      <c r="L311" s="391"/>
      <c r="M311" s="391"/>
      <c r="N311" s="6"/>
      <c r="O311" s="6"/>
      <c r="P311" s="6"/>
      <c r="Q311" s="6"/>
      <c r="R311" s="6"/>
      <c r="S311" s="6"/>
      <c r="T311" s="6"/>
      <c r="U311" s="6"/>
      <c r="V311" s="6"/>
      <c r="W311" s="6"/>
      <c r="X311" s="6"/>
      <c r="Y311" s="22"/>
    </row>
    <row r="312" spans="2:25" x14ac:dyDescent="0.25">
      <c r="B312" s="21"/>
      <c r="C312" s="6"/>
      <c r="D312" s="86" t="s">
        <v>326</v>
      </c>
      <c r="E312" s="86"/>
      <c r="F312" s="86"/>
      <c r="G312" s="86"/>
      <c r="H312" s="86"/>
      <c r="I312" s="119"/>
      <c r="J312" s="878">
        <f>Surfaces!O141</f>
        <v>0</v>
      </c>
      <c r="K312" s="879"/>
      <c r="L312" s="122"/>
      <c r="M312" s="123"/>
      <c r="N312" s="6"/>
      <c r="O312" s="6"/>
      <c r="P312" s="6"/>
      <c r="Q312" s="6"/>
      <c r="R312" s="6"/>
      <c r="S312" s="6"/>
      <c r="T312" s="6"/>
      <c r="U312" s="6"/>
      <c r="V312" s="6"/>
      <c r="W312" s="6"/>
      <c r="X312" s="6"/>
      <c r="Y312" s="22"/>
    </row>
    <row r="313" spans="2:25" x14ac:dyDescent="0.25">
      <c r="B313" s="21"/>
      <c r="C313" s="6"/>
      <c r="D313" s="87" t="s">
        <v>327</v>
      </c>
      <c r="E313" s="87"/>
      <c r="F313" s="87"/>
      <c r="G313" s="87"/>
      <c r="H313" s="87"/>
      <c r="I313" s="120"/>
      <c r="J313" s="878">
        <f>Surfaces!O159+SUM(Surfaces!O143:O157)</f>
        <v>0</v>
      </c>
      <c r="K313" s="879"/>
      <c r="L313" s="122"/>
      <c r="M313" s="123"/>
      <c r="N313" s="6"/>
      <c r="O313" s="6"/>
      <c r="P313" s="6"/>
      <c r="Q313" s="6"/>
      <c r="R313" s="6"/>
      <c r="S313" s="6"/>
      <c r="T313" s="6"/>
      <c r="U313" s="6"/>
      <c r="V313" s="6"/>
      <c r="Y313" s="22"/>
    </row>
    <row r="314" spans="2:25" x14ac:dyDescent="0.25">
      <c r="B314" s="21"/>
      <c r="C314" s="6"/>
      <c r="D314" s="87" t="s">
        <v>2372</v>
      </c>
      <c r="E314" s="87"/>
      <c r="F314" s="87"/>
      <c r="G314" s="87"/>
      <c r="H314" s="87"/>
      <c r="I314" s="120"/>
      <c r="J314" s="878">
        <f>Surfaces!O195-Surfaces!O194</f>
        <v>0</v>
      </c>
      <c r="K314" s="879"/>
      <c r="L314" s="122"/>
      <c r="M314" s="123"/>
      <c r="N314" s="6"/>
      <c r="O314" s="6"/>
      <c r="P314" s="6"/>
      <c r="Q314" s="6"/>
      <c r="R314" s="6"/>
      <c r="S314" s="6"/>
      <c r="T314" s="6"/>
      <c r="U314" s="6"/>
      <c r="V314" s="6"/>
      <c r="Y314" s="22"/>
    </row>
    <row r="315" spans="2:25" x14ac:dyDescent="0.25">
      <c r="B315" s="21"/>
      <c r="C315" s="6"/>
      <c r="D315" s="87" t="s">
        <v>2373</v>
      </c>
      <c r="E315" s="87"/>
      <c r="F315" s="87"/>
      <c r="G315" s="87"/>
      <c r="H315" s="87"/>
      <c r="I315" s="120"/>
      <c r="J315" s="874">
        <f>IFERROR(SUM(J305)/SUM(J312),0)</f>
        <v>0</v>
      </c>
      <c r="K315" s="875"/>
      <c r="L315" s="876">
        <f>IF(J315=1,3,IF(J315&gt;=0.75,2,IF(J315&gt;=0.5,1,0)))</f>
        <v>0</v>
      </c>
      <c r="M315" s="877"/>
      <c r="N315" s="6"/>
      <c r="O315" s="6"/>
      <c r="P315" s="6"/>
      <c r="Q315" s="6"/>
      <c r="R315" s="6"/>
      <c r="S315" s="6"/>
      <c r="T315" s="6"/>
      <c r="U315" s="6"/>
      <c r="V315" s="6"/>
      <c r="Y315" s="22"/>
    </row>
    <row r="316" spans="2:25" x14ac:dyDescent="0.25">
      <c r="B316" s="21"/>
      <c r="C316" s="6"/>
      <c r="D316" s="87" t="s">
        <v>2374</v>
      </c>
      <c r="E316" s="87"/>
      <c r="F316" s="87"/>
      <c r="G316" s="87"/>
      <c r="H316" s="87"/>
      <c r="I316" s="87"/>
      <c r="J316" s="874">
        <f>IFERROR(J306/J313,0)</f>
        <v>0</v>
      </c>
      <c r="K316" s="875"/>
      <c r="L316" s="876">
        <f>IF(J316=1,3,IF(J316&gt;=0.75,2,IF(J316&gt;=0.5,1,0)))</f>
        <v>0</v>
      </c>
      <c r="M316" s="877"/>
      <c r="N316" s="6"/>
      <c r="O316" s="6"/>
      <c r="P316" s="6"/>
      <c r="Q316" s="6"/>
      <c r="R316" s="6"/>
      <c r="S316" s="6"/>
      <c r="T316" s="6"/>
      <c r="U316" s="6"/>
      <c r="V316" s="6"/>
      <c r="Y316" s="22"/>
    </row>
    <row r="317" spans="2:25" x14ac:dyDescent="0.25">
      <c r="B317" s="21"/>
      <c r="C317" s="6"/>
      <c r="D317" s="87" t="s">
        <v>2375</v>
      </c>
      <c r="E317" s="87"/>
      <c r="F317" s="87"/>
      <c r="G317" s="87"/>
      <c r="H317" s="87"/>
      <c r="I317" s="87"/>
      <c r="J317" s="874">
        <f>IFERROR(J307/J314,0)</f>
        <v>0</v>
      </c>
      <c r="K317" s="875"/>
      <c r="L317" s="876">
        <f>IF(J317=1,3,IF(J317&gt;=0.75,2,IF(J317&gt;=0.5,1,0)))</f>
        <v>0</v>
      </c>
      <c r="M317" s="877"/>
      <c r="N317" s="6"/>
      <c r="O317" s="6"/>
      <c r="P317" s="6"/>
      <c r="Q317" s="6"/>
      <c r="R317" s="6"/>
      <c r="S317" s="6"/>
      <c r="T317" s="6"/>
      <c r="U317" s="6"/>
      <c r="V317" s="6"/>
      <c r="W317" s="770" t="s">
        <v>723</v>
      </c>
      <c r="X317" s="770"/>
      <c r="Y317" s="22"/>
    </row>
    <row r="318" spans="2:25" s="499" customFormat="1" x14ac:dyDescent="0.25">
      <c r="B318" s="21"/>
      <c r="C318" s="6"/>
      <c r="D318" s="86" t="s">
        <v>304</v>
      </c>
      <c r="E318" s="86"/>
      <c r="F318" s="86"/>
      <c r="G318" s="86"/>
      <c r="H318" s="86"/>
      <c r="I318" s="119"/>
      <c r="J318" s="878">
        <f>Surfaces!O24</f>
        <v>10</v>
      </c>
      <c r="K318" s="888"/>
      <c r="L318" s="542"/>
      <c r="M318" s="543"/>
      <c r="N318" s="6"/>
      <c r="O318" s="6"/>
      <c r="P318" s="6"/>
      <c r="Q318" s="6"/>
      <c r="R318" s="6"/>
      <c r="S318" s="6"/>
      <c r="T318" s="6"/>
      <c r="U318" s="6"/>
      <c r="V318" s="6"/>
      <c r="W318" s="536"/>
      <c r="X318" s="536"/>
      <c r="Y318" s="22"/>
    </row>
    <row r="319" spans="2:25" x14ac:dyDescent="0.25">
      <c r="B319" s="21"/>
      <c r="C319" s="6"/>
      <c r="D319" s="87" t="s">
        <v>732</v>
      </c>
      <c r="E319" s="87"/>
      <c r="F319" s="87"/>
      <c r="G319" s="87"/>
      <c r="H319" s="87"/>
      <c r="I319" s="87"/>
      <c r="J319" s="428"/>
      <c r="K319" s="429"/>
      <c r="L319" s="880">
        <f>IF(cCMR1&gt;0,IF(cSAU=0,0,((J312*L315)+(J313*L316)+(J314*L317))/J318),0)</f>
        <v>0</v>
      </c>
      <c r="M319" s="881"/>
      <c r="N319" s="6"/>
      <c r="O319" s="6"/>
      <c r="P319" s="6"/>
      <c r="Q319" s="6"/>
      <c r="R319" s="6"/>
      <c r="S319" s="6"/>
      <c r="T319" s="6"/>
      <c r="U319" s="6"/>
      <c r="V319" s="6"/>
      <c r="W319" s="771">
        <f>IF(cSAU=0,9,3*(SUM(J312:K314)/J318))</f>
        <v>0</v>
      </c>
      <c r="X319" s="772"/>
      <c r="Y319" s="22"/>
    </row>
    <row r="320" spans="2:25" x14ac:dyDescent="0.25">
      <c r="B320" s="21"/>
      <c r="C320" s="6"/>
      <c r="D320" s="6"/>
      <c r="E320" s="6"/>
      <c r="F320" s="6"/>
      <c r="G320" s="6"/>
      <c r="H320" s="6"/>
      <c r="I320" s="6"/>
      <c r="J320" s="6"/>
      <c r="K320" s="6"/>
      <c r="L320" s="6"/>
      <c r="M320" s="6"/>
      <c r="N320" s="6"/>
      <c r="O320" s="6"/>
      <c r="P320" s="6"/>
      <c r="Q320" s="6"/>
      <c r="R320" s="6"/>
      <c r="S320" s="6"/>
      <c r="T320" s="6"/>
      <c r="U320" s="6"/>
      <c r="V320" s="6"/>
      <c r="W320" s="6"/>
      <c r="X320" s="6"/>
      <c r="Y320" s="22"/>
    </row>
    <row r="321" spans="2:25" x14ac:dyDescent="0.25">
      <c r="B321" s="21"/>
      <c r="C321" s="6"/>
      <c r="D321" s="6"/>
      <c r="E321" s="6"/>
      <c r="F321" s="6"/>
      <c r="G321" s="6"/>
      <c r="H321" s="6"/>
      <c r="I321" s="6"/>
      <c r="J321" s="6"/>
      <c r="K321" s="6"/>
      <c r="L321" s="6"/>
      <c r="M321" s="6"/>
      <c r="N321" s="6"/>
      <c r="O321" s="6"/>
      <c r="P321" s="6"/>
      <c r="Q321" s="6"/>
      <c r="R321" s="6"/>
      <c r="S321" s="6"/>
      <c r="T321" s="6"/>
      <c r="U321" s="6"/>
      <c r="V321" s="6"/>
      <c r="W321" s="6"/>
      <c r="X321" s="6"/>
      <c r="Y321" s="22"/>
    </row>
    <row r="322" spans="2:25" x14ac:dyDescent="0.25">
      <c r="B322" s="21"/>
      <c r="C322" s="6"/>
      <c r="D322" s="102" t="s">
        <v>2532</v>
      </c>
      <c r="E322" s="6"/>
      <c r="F322" s="6"/>
      <c r="G322" s="6"/>
      <c r="H322" s="6"/>
      <c r="I322" s="6"/>
      <c r="J322" s="6"/>
      <c r="K322" s="6"/>
      <c r="L322" s="6"/>
      <c r="M322" s="6"/>
      <c r="N322" s="6"/>
      <c r="O322" s="6"/>
      <c r="P322" s="6"/>
      <c r="Q322" s="6"/>
      <c r="R322" s="6"/>
      <c r="S322" s="6"/>
      <c r="T322" s="6"/>
      <c r="U322" s="6"/>
      <c r="V322" s="6"/>
      <c r="W322" s="6"/>
      <c r="X322" s="6"/>
      <c r="Y322" s="22"/>
    </row>
    <row r="323" spans="2:25" x14ac:dyDescent="0.25">
      <c r="B323" s="21"/>
      <c r="C323" s="6"/>
      <c r="D323" s="757"/>
      <c r="E323" s="758"/>
      <c r="F323" s="758"/>
      <c r="G323" s="758"/>
      <c r="H323" s="758"/>
      <c r="I323" s="758"/>
      <c r="J323" s="758"/>
      <c r="K323" s="758"/>
      <c r="L323" s="758"/>
      <c r="M323" s="758"/>
      <c r="N323" s="758"/>
      <c r="O323" s="758"/>
      <c r="P323" s="758"/>
      <c r="Q323" s="758"/>
      <c r="R323" s="758"/>
      <c r="S323" s="758"/>
      <c r="T323" s="758"/>
      <c r="U323" s="758"/>
      <c r="V323" s="758"/>
      <c r="W323" s="758"/>
      <c r="X323" s="759"/>
      <c r="Y323" s="22"/>
    </row>
    <row r="324" spans="2:25" x14ac:dyDescent="0.25">
      <c r="B324" s="21"/>
      <c r="C324" s="6"/>
      <c r="D324" s="760"/>
      <c r="E324" s="761"/>
      <c r="F324" s="761"/>
      <c r="G324" s="761"/>
      <c r="H324" s="761"/>
      <c r="I324" s="761"/>
      <c r="J324" s="761"/>
      <c r="K324" s="761"/>
      <c r="L324" s="761"/>
      <c r="M324" s="761"/>
      <c r="N324" s="761"/>
      <c r="O324" s="761"/>
      <c r="P324" s="761"/>
      <c r="Q324" s="761"/>
      <c r="R324" s="761"/>
      <c r="S324" s="761"/>
      <c r="T324" s="761"/>
      <c r="U324" s="761"/>
      <c r="V324" s="761"/>
      <c r="W324" s="761"/>
      <c r="X324" s="762"/>
      <c r="Y324" s="22"/>
    </row>
    <row r="325" spans="2:25" x14ac:dyDescent="0.25">
      <c r="B325" s="21"/>
      <c r="C325" s="6"/>
      <c r="D325" s="760"/>
      <c r="E325" s="761"/>
      <c r="F325" s="761"/>
      <c r="G325" s="761"/>
      <c r="H325" s="761"/>
      <c r="I325" s="761"/>
      <c r="J325" s="761"/>
      <c r="K325" s="761"/>
      <c r="L325" s="761"/>
      <c r="M325" s="761"/>
      <c r="N325" s="761"/>
      <c r="O325" s="761"/>
      <c r="P325" s="761"/>
      <c r="Q325" s="761"/>
      <c r="R325" s="761"/>
      <c r="S325" s="761"/>
      <c r="T325" s="761"/>
      <c r="U325" s="761"/>
      <c r="V325" s="761"/>
      <c r="W325" s="761"/>
      <c r="X325" s="762"/>
      <c r="Y325" s="22"/>
    </row>
    <row r="326" spans="2:25" x14ac:dyDescent="0.25">
      <c r="B326" s="21"/>
      <c r="C326" s="6"/>
      <c r="D326" s="760"/>
      <c r="E326" s="761"/>
      <c r="F326" s="761"/>
      <c r="G326" s="761"/>
      <c r="H326" s="761"/>
      <c r="I326" s="761"/>
      <c r="J326" s="761"/>
      <c r="K326" s="761"/>
      <c r="L326" s="761"/>
      <c r="M326" s="761"/>
      <c r="N326" s="761"/>
      <c r="O326" s="761"/>
      <c r="P326" s="761"/>
      <c r="Q326" s="761"/>
      <c r="R326" s="761"/>
      <c r="S326" s="761"/>
      <c r="T326" s="761"/>
      <c r="U326" s="761"/>
      <c r="V326" s="761"/>
      <c r="W326" s="761"/>
      <c r="X326" s="762"/>
      <c r="Y326" s="22"/>
    </row>
    <row r="327" spans="2:25" x14ac:dyDescent="0.25">
      <c r="B327" s="21"/>
      <c r="C327" s="6"/>
      <c r="D327" s="763"/>
      <c r="E327" s="764"/>
      <c r="F327" s="764"/>
      <c r="G327" s="764"/>
      <c r="H327" s="764"/>
      <c r="I327" s="764"/>
      <c r="J327" s="764"/>
      <c r="K327" s="764"/>
      <c r="L327" s="764"/>
      <c r="M327" s="764"/>
      <c r="N327" s="764"/>
      <c r="O327" s="764"/>
      <c r="P327" s="764"/>
      <c r="Q327" s="764"/>
      <c r="R327" s="764"/>
      <c r="S327" s="764"/>
      <c r="T327" s="764"/>
      <c r="U327" s="764"/>
      <c r="V327" s="764"/>
      <c r="W327" s="764"/>
      <c r="X327" s="765"/>
      <c r="Y327" s="22"/>
    </row>
    <row r="328" spans="2:25" x14ac:dyDescent="0.25">
      <c r="B328" s="21"/>
      <c r="C328" s="6"/>
      <c r="D328" s="6"/>
      <c r="E328" s="6"/>
      <c r="F328" s="6"/>
      <c r="G328" s="6"/>
      <c r="H328" s="6"/>
      <c r="I328" s="6"/>
      <c r="J328" s="6"/>
      <c r="K328" s="6"/>
      <c r="L328" s="6"/>
      <c r="M328" s="6"/>
      <c r="N328" s="6"/>
      <c r="O328" s="6"/>
      <c r="P328" s="6"/>
      <c r="Q328" s="6"/>
      <c r="R328" s="6"/>
      <c r="S328" s="6"/>
      <c r="T328" s="6"/>
      <c r="U328" s="6"/>
      <c r="V328" s="6"/>
      <c r="W328" s="6"/>
      <c r="X328" s="6"/>
      <c r="Y328" s="22"/>
    </row>
    <row r="329" spans="2:25" ht="15.75" thickBot="1" x14ac:dyDescent="0.3">
      <c r="B329" s="24"/>
      <c r="C329" s="25"/>
      <c r="D329" s="25"/>
      <c r="E329" s="25"/>
      <c r="F329" s="25"/>
      <c r="G329" s="25"/>
      <c r="H329" s="25"/>
      <c r="I329" s="25"/>
      <c r="J329" s="25"/>
      <c r="K329" s="25"/>
      <c r="L329" s="25"/>
      <c r="M329" s="25"/>
      <c r="N329" s="25"/>
      <c r="O329" s="25"/>
      <c r="P329" s="25"/>
      <c r="Q329" s="25"/>
      <c r="R329" s="25"/>
      <c r="S329" s="25"/>
      <c r="T329" s="25"/>
      <c r="U329" s="25"/>
      <c r="V329" s="25"/>
      <c r="W329" s="25"/>
      <c r="X329" s="25"/>
      <c r="Y329" s="26"/>
    </row>
    <row r="332" spans="2:25" ht="15.75" thickBot="1" x14ac:dyDescent="0.3"/>
    <row r="333" spans="2:25" x14ac:dyDescent="0.25">
      <c r="B333" s="18"/>
      <c r="C333" s="19"/>
      <c r="D333" s="19"/>
      <c r="E333" s="19"/>
      <c r="F333" s="19"/>
      <c r="G333" s="19"/>
      <c r="H333" s="19"/>
      <c r="I333" s="19"/>
      <c r="J333" s="19"/>
      <c r="K333" s="19"/>
      <c r="L333" s="19"/>
      <c r="M333" s="19"/>
      <c r="N333" s="19"/>
      <c r="O333" s="19"/>
      <c r="P333" s="19"/>
      <c r="Q333" s="19"/>
      <c r="R333" s="19"/>
      <c r="S333" s="19"/>
      <c r="T333" s="19"/>
      <c r="U333" s="19"/>
      <c r="V333" s="19"/>
      <c r="W333" s="19"/>
      <c r="X333" s="19"/>
      <c r="Y333" s="20"/>
    </row>
    <row r="334" spans="2:25" x14ac:dyDescent="0.25">
      <c r="B334" s="21"/>
      <c r="C334" s="6"/>
      <c r="D334" s="6"/>
      <c r="E334" s="6"/>
      <c r="F334" s="6"/>
      <c r="G334" s="6"/>
      <c r="H334" s="6"/>
      <c r="I334" s="6"/>
      <c r="J334" s="6"/>
      <c r="K334" s="6"/>
      <c r="L334" s="6"/>
      <c r="M334" s="6"/>
      <c r="N334" s="6"/>
      <c r="O334" s="6"/>
      <c r="P334" s="6"/>
      <c r="Q334" s="6"/>
      <c r="R334" s="6"/>
      <c r="S334" s="6"/>
      <c r="T334" s="6"/>
      <c r="U334" s="6"/>
      <c r="V334" s="6"/>
      <c r="W334" s="6"/>
      <c r="X334" s="6"/>
      <c r="Y334" s="22"/>
    </row>
    <row r="335" spans="2:25" x14ac:dyDescent="0.25">
      <c r="B335" s="21"/>
      <c r="C335" s="173" t="s">
        <v>2551</v>
      </c>
      <c r="D335" s="224"/>
      <c r="E335" s="6"/>
      <c r="F335" s="6"/>
      <c r="G335" s="6"/>
      <c r="H335" s="6"/>
      <c r="I335" s="6"/>
      <c r="J335" s="6"/>
      <c r="K335" s="6"/>
      <c r="L335" s="6"/>
      <c r="M335" s="6"/>
      <c r="N335" s="6"/>
      <c r="O335" s="6"/>
      <c r="P335" s="6"/>
      <c r="Q335" s="6"/>
      <c r="R335" s="6"/>
      <c r="S335" s="6"/>
      <c r="T335" s="6"/>
      <c r="U335" s="6"/>
      <c r="V335" s="6"/>
      <c r="W335" s="6"/>
      <c r="X335" s="6"/>
      <c r="Y335" s="22"/>
    </row>
    <row r="336" spans="2:25" x14ac:dyDescent="0.25">
      <c r="B336" s="21"/>
      <c r="C336" s="6"/>
      <c r="D336" s="6"/>
      <c r="E336" s="6"/>
      <c r="F336" s="6"/>
      <c r="G336" s="6"/>
      <c r="H336" s="6"/>
      <c r="I336" s="6"/>
      <c r="J336" s="6"/>
      <c r="K336" s="6"/>
      <c r="L336" s="6"/>
      <c r="M336" s="6"/>
      <c r="N336" s="6"/>
      <c r="O336" s="6"/>
      <c r="P336" s="6"/>
      <c r="Q336" s="6"/>
      <c r="R336" s="6"/>
      <c r="S336" s="6"/>
      <c r="T336" s="6"/>
      <c r="U336" s="6"/>
      <c r="V336" s="6"/>
      <c r="W336" s="6"/>
      <c r="X336" s="6"/>
      <c r="Y336" s="22"/>
    </row>
    <row r="337" spans="2:25" x14ac:dyDescent="0.25">
      <c r="B337" s="21"/>
      <c r="C337" s="46" t="s">
        <v>2376</v>
      </c>
      <c r="D337" s="6"/>
      <c r="E337" s="6"/>
      <c r="F337" s="6"/>
      <c r="G337" s="6"/>
      <c r="H337" s="6"/>
      <c r="I337" s="6"/>
      <c r="J337" s="6"/>
      <c r="K337" s="6"/>
      <c r="L337" s="884" t="s">
        <v>328</v>
      </c>
      <c r="M337" s="884"/>
      <c r="N337" s="6"/>
      <c r="O337" s="6"/>
      <c r="P337" s="6"/>
      <c r="Q337" s="6"/>
      <c r="R337" s="6"/>
      <c r="S337" s="6"/>
      <c r="T337" s="6"/>
      <c r="U337" s="6"/>
      <c r="V337" s="6"/>
      <c r="W337" s="6"/>
      <c r="X337" s="6"/>
      <c r="Y337" s="22"/>
    </row>
    <row r="338" spans="2:25" x14ac:dyDescent="0.25">
      <c r="B338" s="21"/>
      <c r="C338" s="6"/>
      <c r="D338" s="6" t="s">
        <v>2380</v>
      </c>
      <c r="E338" s="6"/>
      <c r="F338" s="6"/>
      <c r="G338" s="6"/>
      <c r="H338" s="6"/>
      <c r="I338" s="6"/>
      <c r="J338" s="6"/>
      <c r="K338" s="6"/>
      <c r="L338" s="882"/>
      <c r="M338" s="883"/>
      <c r="N338" s="6"/>
      <c r="O338" s="6"/>
      <c r="P338" s="6"/>
      <c r="Q338" s="6"/>
      <c r="R338" s="6"/>
      <c r="S338" s="6"/>
      <c r="T338" s="6"/>
      <c r="U338" s="6"/>
      <c r="V338" s="6"/>
      <c r="W338" s="6"/>
      <c r="X338" s="6"/>
      <c r="Y338" s="22"/>
    </row>
    <row r="339" spans="2:25" x14ac:dyDescent="0.25">
      <c r="B339" s="21"/>
      <c r="C339" s="6"/>
      <c r="D339" s="6" t="s">
        <v>329</v>
      </c>
      <c r="E339" s="6"/>
      <c r="F339" s="6"/>
      <c r="G339" s="6"/>
      <c r="H339" s="6"/>
      <c r="I339" s="6"/>
      <c r="J339" s="6"/>
      <c r="K339" s="6"/>
      <c r="L339" s="882"/>
      <c r="M339" s="883"/>
      <c r="N339" s="6"/>
      <c r="O339" s="173" t="str">
        <f>IF(L339&gt;L338,"Attention : volume recyclé et traité &gt; volume utilisé","")</f>
        <v/>
      </c>
      <c r="P339" s="6"/>
      <c r="Q339" s="6"/>
      <c r="R339" s="6"/>
      <c r="S339" s="6"/>
      <c r="T339" s="6"/>
      <c r="U339" s="6"/>
      <c r="V339" s="6"/>
      <c r="W339" s="6"/>
      <c r="X339" s="6"/>
      <c r="Y339" s="22"/>
    </row>
    <row r="340" spans="2:25" x14ac:dyDescent="0.25">
      <c r="B340" s="21"/>
      <c r="C340" s="6"/>
      <c r="D340" s="6" t="s">
        <v>340</v>
      </c>
      <c r="E340" s="6"/>
      <c r="F340" s="6"/>
      <c r="G340" s="6"/>
      <c r="H340" s="6"/>
      <c r="I340" s="6"/>
      <c r="J340" s="6"/>
      <c r="K340" s="6"/>
      <c r="L340" s="878">
        <f>Surfaces!O136-Surfaces!O194</f>
        <v>0</v>
      </c>
      <c r="M340" s="879"/>
      <c r="N340" s="6"/>
      <c r="O340" s="6"/>
      <c r="P340" s="6"/>
      <c r="Q340" s="6"/>
      <c r="R340" s="6"/>
      <c r="S340" s="6"/>
      <c r="T340" s="6"/>
      <c r="U340" s="6"/>
      <c r="V340" s="6"/>
      <c r="W340" s="6"/>
      <c r="X340" s="6"/>
      <c r="Y340" s="22"/>
    </row>
    <row r="341" spans="2:25" x14ac:dyDescent="0.25">
      <c r="B341" s="21"/>
      <c r="C341" s="6"/>
      <c r="D341" s="6"/>
      <c r="E341" s="6"/>
      <c r="F341" s="6"/>
      <c r="G341" s="6"/>
      <c r="H341" s="6"/>
      <c r="I341" s="6"/>
      <c r="J341" s="6"/>
      <c r="K341" s="6"/>
      <c r="L341" s="6"/>
      <c r="M341" s="6"/>
      <c r="N341" s="6"/>
      <c r="O341" s="6"/>
      <c r="P341" s="6"/>
      <c r="Q341" s="6"/>
      <c r="R341" s="6"/>
      <c r="S341" s="6"/>
      <c r="T341" s="6"/>
      <c r="U341" s="6"/>
      <c r="V341" s="6"/>
      <c r="W341" s="6"/>
      <c r="X341" s="6"/>
      <c r="Y341" s="22"/>
    </row>
    <row r="342" spans="2:25" x14ac:dyDescent="0.25">
      <c r="B342" s="21"/>
      <c r="C342" s="46" t="s">
        <v>2377</v>
      </c>
      <c r="D342" s="6"/>
      <c r="E342" s="6"/>
      <c r="F342" s="140"/>
      <c r="H342" s="6"/>
      <c r="I342" s="6"/>
      <c r="J342" s="6"/>
      <c r="K342" s="6"/>
      <c r="L342" s="884" t="s">
        <v>428</v>
      </c>
      <c r="M342" s="884"/>
      <c r="N342" s="6"/>
      <c r="O342" s="6"/>
      <c r="P342" s="6"/>
      <c r="Q342" s="6"/>
      <c r="R342" s="6"/>
      <c r="S342" s="6"/>
      <c r="T342" s="6"/>
      <c r="U342" s="6"/>
      <c r="V342" s="6"/>
      <c r="W342" s="6"/>
      <c r="X342" s="6"/>
      <c r="Y342" s="22"/>
    </row>
    <row r="343" spans="2:25" x14ac:dyDescent="0.25">
      <c r="B343" s="21"/>
      <c r="C343" s="6"/>
      <c r="D343" s="224" t="s">
        <v>601</v>
      </c>
      <c r="E343" s="224"/>
      <c r="F343" s="224"/>
      <c r="G343" s="224"/>
      <c r="H343" s="224"/>
      <c r="I343" s="225"/>
      <c r="J343" s="140"/>
      <c r="K343" s="6"/>
      <c r="L343" s="882"/>
      <c r="M343" s="883"/>
      <c r="N343" s="6"/>
      <c r="O343" s="173" t="str">
        <f>IF(AND(L343&lt;&gt;"",OR(SUM(L343:M344)&gt;L345,L343&gt;L345)),"Attention : surfaces saisies &gt; surface concernée","")</f>
        <v/>
      </c>
      <c r="P343" s="6"/>
      <c r="Q343" s="6"/>
      <c r="R343" s="6"/>
      <c r="S343" s="6"/>
      <c r="T343" s="6"/>
      <c r="U343" s="6"/>
      <c r="V343" s="6"/>
      <c r="W343" s="6"/>
      <c r="X343" s="6"/>
      <c r="Y343" s="22"/>
    </row>
    <row r="344" spans="2:25" x14ac:dyDescent="0.25">
      <c r="B344" s="21"/>
      <c r="C344" s="6"/>
      <c r="D344" s="224" t="s">
        <v>602</v>
      </c>
      <c r="E344" s="224"/>
      <c r="F344" s="224"/>
      <c r="G344" s="224"/>
      <c r="H344" s="224"/>
      <c r="I344" s="224"/>
      <c r="J344" s="224"/>
      <c r="K344" s="6"/>
      <c r="L344" s="882"/>
      <c r="M344" s="883"/>
      <c r="N344" s="6"/>
      <c r="O344" s="173" t="str">
        <f>IF(AND(L344&lt;&gt;"",OR(SUM(L343:M344)&gt;L345,L344&gt;L345)),"Attention : surfaces saisies &gt; surface concernée","")</f>
        <v/>
      </c>
      <c r="P344" s="6"/>
      <c r="Q344" s="6"/>
      <c r="R344" s="6"/>
      <c r="S344" s="6"/>
      <c r="T344" s="6"/>
      <c r="U344" s="6"/>
      <c r="V344" s="6"/>
      <c r="W344" s="6"/>
      <c r="X344" s="6"/>
      <c r="Y344" s="22"/>
    </row>
    <row r="345" spans="2:25" x14ac:dyDescent="0.25">
      <c r="B345" s="21"/>
      <c r="C345" s="6"/>
      <c r="D345" t="s">
        <v>340</v>
      </c>
      <c r="L345" s="878">
        <f>Surfaces!O194</f>
        <v>0</v>
      </c>
      <c r="M345" s="879"/>
      <c r="N345" s="6"/>
      <c r="P345" s="6"/>
      <c r="Q345" s="6"/>
      <c r="R345" s="6"/>
      <c r="S345" s="6"/>
      <c r="T345" s="6"/>
      <c r="U345" s="6"/>
      <c r="V345" s="6"/>
      <c r="W345" s="6"/>
      <c r="X345" s="6"/>
      <c r="Y345" s="22"/>
    </row>
    <row r="346" spans="2:25" x14ac:dyDescent="0.25">
      <c r="B346" s="21"/>
      <c r="C346" s="6"/>
      <c r="D346" s="6"/>
      <c r="E346" s="6"/>
      <c r="F346" s="6"/>
      <c r="G346" s="6"/>
      <c r="H346" s="6"/>
      <c r="I346" s="6"/>
      <c r="J346" s="6"/>
      <c r="K346" s="6"/>
      <c r="L346" s="6"/>
      <c r="W346" s="6"/>
      <c r="X346" s="6"/>
      <c r="Y346" s="22"/>
    </row>
    <row r="347" spans="2:25" x14ac:dyDescent="0.25">
      <c r="B347" s="21"/>
      <c r="C347" s="46"/>
      <c r="D347" s="6"/>
      <c r="E347" s="6"/>
      <c r="F347" s="6"/>
      <c r="G347" s="6"/>
      <c r="H347" s="6"/>
      <c r="I347" s="6"/>
      <c r="J347" s="6"/>
      <c r="K347" s="6"/>
      <c r="L347" s="6"/>
      <c r="M347" s="6"/>
      <c r="N347" s="741" t="s">
        <v>245</v>
      </c>
      <c r="O347" s="741"/>
      <c r="P347" s="6"/>
      <c r="Q347" s="6"/>
      <c r="R347" s="6"/>
      <c r="S347" s="6"/>
      <c r="T347" s="6"/>
      <c r="U347" s="6"/>
      <c r="V347" s="6"/>
      <c r="W347" s="6"/>
      <c r="X347" s="6"/>
      <c r="Y347" s="22"/>
    </row>
    <row r="348" spans="2:25" x14ac:dyDescent="0.25">
      <c r="B348" s="21"/>
      <c r="C348" s="6"/>
      <c r="D348" s="6"/>
      <c r="E348" s="6"/>
      <c r="F348" s="6"/>
      <c r="G348" s="6"/>
      <c r="H348" s="6"/>
      <c r="I348" s="6"/>
      <c r="J348" s="6"/>
      <c r="K348" s="6"/>
      <c r="L348" s="6"/>
      <c r="M348" s="6"/>
      <c r="N348" s="109"/>
      <c r="O348" s="109"/>
      <c r="P348" s="6"/>
      <c r="Q348" s="6"/>
      <c r="R348" s="6"/>
      <c r="S348" s="6"/>
      <c r="T348" s="6"/>
      <c r="U348" s="6"/>
      <c r="V348" s="6"/>
      <c r="W348" s="6"/>
      <c r="X348" s="6"/>
      <c r="Y348" s="22"/>
    </row>
    <row r="349" spans="2:25" x14ac:dyDescent="0.25">
      <c r="B349" s="21"/>
      <c r="C349" s="6"/>
      <c r="D349" s="86" t="s">
        <v>304</v>
      </c>
      <c r="E349" s="86"/>
      <c r="F349" s="86"/>
      <c r="G349" s="86"/>
      <c r="H349" s="86"/>
      <c r="I349" s="86"/>
      <c r="J349" s="44"/>
      <c r="K349" s="49"/>
      <c r="L349" s="878">
        <f>Surfaces!O24</f>
        <v>10</v>
      </c>
      <c r="M349" s="888"/>
      <c r="N349" s="391"/>
      <c r="O349" s="391"/>
      <c r="P349" s="6"/>
      <c r="Q349" s="6"/>
      <c r="R349" s="6"/>
      <c r="S349" s="6"/>
      <c r="T349" s="6"/>
      <c r="U349" s="6"/>
      <c r="V349" s="6"/>
      <c r="W349" s="6"/>
      <c r="X349" s="6"/>
      <c r="Y349" s="22"/>
    </row>
    <row r="350" spans="2:25" x14ac:dyDescent="0.25">
      <c r="B350" s="21"/>
      <c r="C350" s="6"/>
      <c r="D350" s="86" t="s">
        <v>2626</v>
      </c>
      <c r="E350" s="86"/>
      <c r="F350" s="86"/>
      <c r="G350" s="86"/>
      <c r="H350" s="86"/>
      <c r="I350" s="86"/>
      <c r="J350" s="86"/>
      <c r="K350" s="119"/>
      <c r="L350" s="874">
        <f>IF(L340=0,0,IFERROR(L339/L338,0))</f>
        <v>0</v>
      </c>
      <c r="M350" s="875"/>
      <c r="N350" s="976">
        <f>IF(L340=0,0,ROUNDUP(MAX(L350/10%,0),0))</f>
        <v>0</v>
      </c>
      <c r="O350" s="899"/>
      <c r="P350" s="6"/>
      <c r="Q350" s="6"/>
      <c r="R350" s="6"/>
      <c r="S350" s="6"/>
      <c r="T350" s="6"/>
      <c r="U350" s="6"/>
      <c r="V350" s="6"/>
      <c r="W350" s="6"/>
      <c r="X350" s="6"/>
      <c r="Y350" s="22"/>
    </row>
    <row r="351" spans="2:25" x14ac:dyDescent="0.25">
      <c r="B351" s="21"/>
      <c r="C351" s="6"/>
      <c r="D351" s="87" t="s">
        <v>2378</v>
      </c>
      <c r="E351" s="87"/>
      <c r="F351" s="87"/>
      <c r="G351" s="87"/>
      <c r="H351" s="87"/>
      <c r="I351" s="87"/>
      <c r="J351" s="87"/>
      <c r="K351" s="120"/>
      <c r="L351" s="874">
        <f>IFERROR(IF(L343="",0,L343/L345),0)</f>
        <v>0</v>
      </c>
      <c r="M351" s="875"/>
      <c r="N351" s="976">
        <f>IF(AND(L338="",L339="",L343="",L344=""),0,IF(L351=0,0,IF(L351&lt;0.5,2,IF(AND(L351&gt;=0.5,L351&lt;0.75),4,IF(L351&gt;=0.75,6,0)))))</f>
        <v>0</v>
      </c>
      <c r="O351" s="899"/>
      <c r="P351" s="6"/>
      <c r="Q351" s="6"/>
      <c r="R351" s="6"/>
      <c r="S351" s="6"/>
      <c r="T351" s="6"/>
      <c r="U351" s="6"/>
      <c r="V351" s="6"/>
      <c r="W351" s="6"/>
      <c r="X351" s="6"/>
      <c r="Y351" s="22"/>
    </row>
    <row r="352" spans="2:25" x14ac:dyDescent="0.25">
      <c r="B352" s="21"/>
      <c r="C352" s="6"/>
      <c r="D352" s="87" t="s">
        <v>2379</v>
      </c>
      <c r="E352" s="87"/>
      <c r="F352" s="87"/>
      <c r="G352" s="87"/>
      <c r="H352" s="87"/>
      <c r="I352" s="87"/>
      <c r="J352" s="87"/>
      <c r="K352" s="120"/>
      <c r="L352" s="874">
        <f>IFERROR(IF(L344="",0,L344/L345),0)</f>
        <v>0</v>
      </c>
      <c r="M352" s="875"/>
      <c r="N352" s="976">
        <f>IF(AND(L338="",L339="",L343="",L344=""),0,IF(L352=0,0,IF(L352&lt;0.5,1,IF(AND(L352&gt;=0.5,L352&lt;0.75),2,IF(L352&gt;=0.75,3,0)))))</f>
        <v>0</v>
      </c>
      <c r="O352" s="899"/>
      <c r="P352" s="6"/>
      <c r="Q352" s="6"/>
      <c r="R352" s="6"/>
      <c r="S352" s="6"/>
      <c r="T352" s="6"/>
      <c r="U352" s="6"/>
      <c r="V352" s="6"/>
      <c r="W352" s="770" t="s">
        <v>723</v>
      </c>
      <c r="X352" s="770"/>
      <c r="Y352" s="22"/>
    </row>
    <row r="353" spans="2:25" x14ac:dyDescent="0.25">
      <c r="B353" s="21"/>
      <c r="C353" s="6"/>
      <c r="D353" s="168" t="s">
        <v>427</v>
      </c>
      <c r="E353" s="44"/>
      <c r="F353" s="44"/>
      <c r="G353" s="44"/>
      <c r="H353" s="44"/>
      <c r="I353" s="44"/>
      <c r="J353" s="44"/>
      <c r="K353" s="44"/>
      <c r="L353" s="169"/>
      <c r="M353" s="170"/>
      <c r="N353" s="885">
        <f>IF(cCMR1=0,0,IF(cSAU=0,0,(N350*(L340/L349))+(N351*(L345/L349))+(N352*(L345/L349))))</f>
        <v>0</v>
      </c>
      <c r="O353" s="886"/>
      <c r="P353" s="6"/>
      <c r="Q353" s="6"/>
      <c r="R353" s="6"/>
      <c r="S353" s="6"/>
      <c r="T353" s="6"/>
      <c r="U353" s="6"/>
      <c r="V353" s="6"/>
      <c r="W353" s="771">
        <f>IF(cSAU=0,10,(10*L340+7*L345)/L349)</f>
        <v>0</v>
      </c>
      <c r="X353" s="772"/>
      <c r="Y353" s="22"/>
    </row>
    <row r="354" spans="2:25" x14ac:dyDescent="0.25">
      <c r="B354" s="21"/>
      <c r="C354" s="6"/>
      <c r="D354" s="167"/>
      <c r="E354" s="6"/>
      <c r="F354" s="6"/>
      <c r="G354" s="6"/>
      <c r="H354" s="6"/>
      <c r="I354" s="6"/>
      <c r="J354" s="6"/>
      <c r="K354" s="6"/>
      <c r="L354" s="166"/>
      <c r="M354" s="166"/>
      <c r="N354" s="478"/>
      <c r="O354" s="478"/>
      <c r="P354" s="42"/>
      <c r="Q354" s="42"/>
      <c r="R354" s="42"/>
      <c r="S354" s="42"/>
      <c r="T354" s="42"/>
      <c r="U354" s="42"/>
      <c r="V354" s="42"/>
      <c r="W354" s="479"/>
      <c r="X354" s="479"/>
      <c r="Y354" s="22"/>
    </row>
    <row r="355" spans="2:25" x14ac:dyDescent="0.25">
      <c r="B355" s="21"/>
      <c r="C355" s="6"/>
      <c r="D355" s="167"/>
      <c r="E355" s="6"/>
      <c r="F355" s="6"/>
      <c r="G355" s="6"/>
      <c r="H355" s="6"/>
      <c r="I355" s="6"/>
      <c r="J355" s="6"/>
      <c r="K355" s="6"/>
      <c r="L355" s="166"/>
      <c r="M355" s="166"/>
      <c r="N355" s="478"/>
      <c r="O355" s="478"/>
      <c r="P355" s="42"/>
      <c r="Q355" s="42"/>
      <c r="R355" s="42"/>
      <c r="S355" s="42"/>
      <c r="T355" s="42"/>
      <c r="U355" s="42"/>
      <c r="V355" s="42"/>
      <c r="W355" s="479"/>
      <c r="X355" s="479"/>
      <c r="Y355" s="22"/>
    </row>
    <row r="356" spans="2:25" x14ac:dyDescent="0.25">
      <c r="B356" s="21"/>
      <c r="C356" s="6"/>
      <c r="D356" s="102" t="s">
        <v>2532</v>
      </c>
      <c r="E356" s="6"/>
      <c r="F356" s="6"/>
      <c r="G356" s="6"/>
      <c r="H356" s="6"/>
      <c r="I356" s="6"/>
      <c r="J356" s="6"/>
      <c r="K356" s="6"/>
      <c r="L356" s="6"/>
      <c r="M356" s="6"/>
      <c r="N356" s="6"/>
      <c r="O356" s="6"/>
      <c r="P356" s="6"/>
      <c r="Q356" s="6"/>
      <c r="R356" s="6"/>
      <c r="S356" s="6"/>
      <c r="T356" s="6"/>
      <c r="U356" s="6"/>
      <c r="V356" s="6"/>
      <c r="W356" s="6"/>
      <c r="X356" s="6"/>
      <c r="Y356" s="22"/>
    </row>
    <row r="357" spans="2:25" x14ac:dyDescent="0.25">
      <c r="B357" s="21"/>
      <c r="C357" s="6"/>
      <c r="D357" s="757"/>
      <c r="E357" s="758"/>
      <c r="F357" s="758"/>
      <c r="G357" s="758"/>
      <c r="H357" s="758"/>
      <c r="I357" s="758"/>
      <c r="J357" s="758"/>
      <c r="K357" s="758"/>
      <c r="L357" s="758"/>
      <c r="M357" s="758"/>
      <c r="N357" s="758"/>
      <c r="O357" s="758"/>
      <c r="P357" s="758"/>
      <c r="Q357" s="758"/>
      <c r="R357" s="758"/>
      <c r="S357" s="758"/>
      <c r="T357" s="758"/>
      <c r="U357" s="758"/>
      <c r="V357" s="758"/>
      <c r="W357" s="758"/>
      <c r="X357" s="759"/>
      <c r="Y357" s="22"/>
    </row>
    <row r="358" spans="2:25" x14ac:dyDescent="0.25">
      <c r="B358" s="21"/>
      <c r="C358" s="6"/>
      <c r="D358" s="760"/>
      <c r="E358" s="761"/>
      <c r="F358" s="761"/>
      <c r="G358" s="761"/>
      <c r="H358" s="761"/>
      <c r="I358" s="761"/>
      <c r="J358" s="761"/>
      <c r="K358" s="761"/>
      <c r="L358" s="761"/>
      <c r="M358" s="761"/>
      <c r="N358" s="761"/>
      <c r="O358" s="761"/>
      <c r="P358" s="761"/>
      <c r="Q358" s="761"/>
      <c r="R358" s="761"/>
      <c r="S358" s="761"/>
      <c r="T358" s="761"/>
      <c r="U358" s="761"/>
      <c r="V358" s="761"/>
      <c r="W358" s="761"/>
      <c r="X358" s="762"/>
      <c r="Y358" s="22"/>
    </row>
    <row r="359" spans="2:25" x14ac:dyDescent="0.25">
      <c r="B359" s="21"/>
      <c r="C359" s="6"/>
      <c r="D359" s="760"/>
      <c r="E359" s="761"/>
      <c r="F359" s="761"/>
      <c r="G359" s="761"/>
      <c r="H359" s="761"/>
      <c r="I359" s="761"/>
      <c r="J359" s="761"/>
      <c r="K359" s="761"/>
      <c r="L359" s="761"/>
      <c r="M359" s="761"/>
      <c r="N359" s="761"/>
      <c r="O359" s="761"/>
      <c r="P359" s="761"/>
      <c r="Q359" s="761"/>
      <c r="R359" s="761"/>
      <c r="S359" s="761"/>
      <c r="T359" s="761"/>
      <c r="U359" s="761"/>
      <c r="V359" s="761"/>
      <c r="W359" s="761"/>
      <c r="X359" s="762"/>
      <c r="Y359" s="22"/>
    </row>
    <row r="360" spans="2:25" x14ac:dyDescent="0.25">
      <c r="B360" s="21"/>
      <c r="C360" s="6"/>
      <c r="D360" s="760"/>
      <c r="E360" s="761"/>
      <c r="F360" s="761"/>
      <c r="G360" s="761"/>
      <c r="H360" s="761"/>
      <c r="I360" s="761"/>
      <c r="J360" s="761"/>
      <c r="K360" s="761"/>
      <c r="L360" s="761"/>
      <c r="M360" s="761"/>
      <c r="N360" s="761"/>
      <c r="O360" s="761"/>
      <c r="P360" s="761"/>
      <c r="Q360" s="761"/>
      <c r="R360" s="761"/>
      <c r="S360" s="761"/>
      <c r="T360" s="761"/>
      <c r="U360" s="761"/>
      <c r="V360" s="761"/>
      <c r="W360" s="761"/>
      <c r="X360" s="762"/>
      <c r="Y360" s="22"/>
    </row>
    <row r="361" spans="2:25" x14ac:dyDescent="0.25">
      <c r="B361" s="21"/>
      <c r="C361" s="6"/>
      <c r="D361" s="763"/>
      <c r="E361" s="764"/>
      <c r="F361" s="764"/>
      <c r="G361" s="764"/>
      <c r="H361" s="764"/>
      <c r="I361" s="764"/>
      <c r="J361" s="764"/>
      <c r="K361" s="764"/>
      <c r="L361" s="764"/>
      <c r="M361" s="764"/>
      <c r="N361" s="764"/>
      <c r="O361" s="764"/>
      <c r="P361" s="764"/>
      <c r="Q361" s="764"/>
      <c r="R361" s="764"/>
      <c r="S361" s="764"/>
      <c r="T361" s="764"/>
      <c r="U361" s="764"/>
      <c r="V361" s="764"/>
      <c r="W361" s="764"/>
      <c r="X361" s="765"/>
      <c r="Y361" s="22"/>
    </row>
    <row r="362" spans="2:25" x14ac:dyDescent="0.25">
      <c r="B362" s="21"/>
      <c r="C362" s="6"/>
      <c r="D362" s="167"/>
      <c r="E362" s="6"/>
      <c r="F362" s="6"/>
      <c r="G362" s="6"/>
      <c r="H362" s="6"/>
      <c r="I362" s="6"/>
      <c r="J362" s="6"/>
      <c r="K362" s="6"/>
      <c r="L362" s="166"/>
      <c r="M362" s="166"/>
      <c r="N362" s="478"/>
      <c r="O362" s="478"/>
      <c r="P362" s="42"/>
      <c r="Q362" s="42"/>
      <c r="R362" s="42"/>
      <c r="S362" s="42"/>
      <c r="T362" s="42"/>
      <c r="U362" s="42"/>
      <c r="V362" s="42"/>
      <c r="W362" s="479"/>
      <c r="X362" s="479"/>
      <c r="Y362" s="22"/>
    </row>
    <row r="363" spans="2:25" ht="15.75" thickBot="1" x14ac:dyDescent="0.3">
      <c r="B363" s="24"/>
      <c r="C363" s="25"/>
      <c r="D363" s="25"/>
      <c r="E363" s="25"/>
      <c r="F363" s="25"/>
      <c r="G363" s="25"/>
      <c r="H363" s="25"/>
      <c r="I363" s="25"/>
      <c r="J363" s="25"/>
      <c r="K363" s="25"/>
      <c r="L363" s="25"/>
      <c r="M363" s="25"/>
      <c r="N363" s="25"/>
      <c r="O363" s="25"/>
      <c r="P363" s="25"/>
      <c r="Q363" s="25"/>
      <c r="R363" s="25"/>
      <c r="S363" s="25"/>
      <c r="T363" s="25"/>
      <c r="U363" s="25"/>
      <c r="V363" s="25"/>
      <c r="W363" s="25"/>
      <c r="X363" s="25"/>
      <c r="Y363" s="26"/>
    </row>
    <row r="366" spans="2:25" ht="15.75" thickBot="1" x14ac:dyDescent="0.3"/>
    <row r="367" spans="2:25" x14ac:dyDescent="0.25">
      <c r="B367" s="10"/>
      <c r="C367" s="11"/>
      <c r="D367" s="11"/>
      <c r="E367" s="11"/>
      <c r="F367" s="11"/>
      <c r="G367" s="11"/>
      <c r="H367" s="11"/>
      <c r="I367" s="11"/>
      <c r="J367" s="11"/>
      <c r="K367" s="11"/>
      <c r="L367" s="11"/>
      <c r="M367" s="11"/>
      <c r="N367" s="11"/>
      <c r="O367" s="11"/>
      <c r="P367" s="11"/>
      <c r="Q367" s="11"/>
      <c r="R367" s="11"/>
      <c r="S367" s="11"/>
      <c r="T367" s="11"/>
      <c r="U367" s="11"/>
      <c r="V367" s="11"/>
      <c r="W367" s="11"/>
      <c r="X367" s="11"/>
      <c r="Y367" s="12"/>
    </row>
    <row r="368" spans="2:25" x14ac:dyDescent="0.25">
      <c r="B368" s="13"/>
      <c r="C368" s="6"/>
      <c r="D368" s="6"/>
      <c r="E368" s="6"/>
      <c r="F368" s="6"/>
      <c r="G368" s="6"/>
      <c r="H368" s="6"/>
      <c r="I368" s="6"/>
      <c r="J368" s="6"/>
      <c r="K368" s="6"/>
      <c r="L368" s="6"/>
      <c r="M368" s="6"/>
      <c r="N368" s="6"/>
      <c r="O368" s="6"/>
      <c r="P368" s="6"/>
      <c r="Q368" s="6"/>
      <c r="R368" s="6"/>
      <c r="S368" s="6"/>
      <c r="T368" s="6"/>
      <c r="U368" s="6"/>
      <c r="V368" s="6"/>
      <c r="W368" s="6"/>
      <c r="X368" s="6"/>
      <c r="Y368" s="14"/>
    </row>
    <row r="369" spans="2:25" x14ac:dyDescent="0.25">
      <c r="B369" s="13"/>
      <c r="C369" s="6"/>
      <c r="D369" s="6"/>
      <c r="E369" s="6"/>
      <c r="F369" s="6"/>
      <c r="G369" s="6"/>
      <c r="H369" s="6"/>
      <c r="I369" s="6"/>
      <c r="J369" s="6"/>
      <c r="K369" s="6"/>
      <c r="L369" s="6"/>
      <c r="M369" s="6"/>
      <c r="N369" s="6"/>
      <c r="O369" s="6"/>
      <c r="P369" s="6"/>
      <c r="Q369" s="6"/>
      <c r="R369" s="6"/>
      <c r="S369" s="6"/>
      <c r="T369" s="6"/>
      <c r="U369" s="6"/>
      <c r="V369" s="6"/>
      <c r="W369" s="6"/>
      <c r="X369" s="6"/>
      <c r="Y369" s="14"/>
    </row>
    <row r="370" spans="2:25" x14ac:dyDescent="0.25">
      <c r="B370" s="13"/>
      <c r="C370" s="86" t="s">
        <v>2361</v>
      </c>
      <c r="D370" s="44"/>
      <c r="E370" s="44"/>
      <c r="F370" s="44"/>
      <c r="G370" s="44"/>
      <c r="H370" s="44"/>
      <c r="I370" s="44"/>
      <c r="J370" s="44"/>
      <c r="K370" s="44"/>
      <c r="L370" s="44"/>
      <c r="M370" s="44"/>
      <c r="N370" s="44"/>
      <c r="O370" s="44"/>
      <c r="P370" s="44"/>
      <c r="Q370" s="49"/>
      <c r="R370" s="781">
        <f>P25+P48+M111+S147+R187+P229+L286+L319+N353+D253</f>
        <v>0</v>
      </c>
      <c r="S370" s="782"/>
      <c r="T370" s="6"/>
      <c r="U370" s="6"/>
      <c r="W370" s="771">
        <f>W25+W48+O111+W147+W187+W229+W253+W286+W319+W353</f>
        <v>30</v>
      </c>
      <c r="X370" s="772"/>
      <c r="Y370" s="14"/>
    </row>
    <row r="371" spans="2:25" x14ac:dyDescent="0.25">
      <c r="B371" s="13"/>
      <c r="C371" s="6"/>
      <c r="D371" s="6"/>
      <c r="E371" s="6"/>
      <c r="F371" s="6"/>
      <c r="G371" s="6"/>
      <c r="H371" s="6"/>
      <c r="I371" s="6"/>
      <c r="J371" s="6"/>
      <c r="K371" s="6"/>
      <c r="L371" s="6"/>
      <c r="M371" s="6"/>
      <c r="N371" s="6"/>
      <c r="O371" s="6"/>
      <c r="P371" s="6"/>
      <c r="Q371" s="6"/>
      <c r="R371" s="6"/>
      <c r="S371" s="6"/>
      <c r="T371" s="6"/>
      <c r="U371" s="6"/>
      <c r="V371" s="6"/>
      <c r="Y371" s="14"/>
    </row>
    <row r="372" spans="2:25" x14ac:dyDescent="0.25">
      <c r="B372" s="13"/>
      <c r="C372" s="6"/>
      <c r="D372" s="6"/>
      <c r="E372" s="6"/>
      <c r="F372" s="6"/>
      <c r="G372" s="6"/>
      <c r="H372" s="6"/>
      <c r="I372" s="6"/>
      <c r="J372" s="6"/>
      <c r="K372" s="6"/>
      <c r="L372" s="6"/>
      <c r="M372" s="6"/>
      <c r="N372" s="6"/>
      <c r="O372" s="6"/>
      <c r="P372" s="6"/>
      <c r="Q372" s="6"/>
      <c r="R372" s="6"/>
      <c r="S372" s="6"/>
      <c r="T372" s="6"/>
      <c r="U372" s="6"/>
      <c r="V372" s="6"/>
      <c r="W372" s="6"/>
      <c r="X372" s="6"/>
      <c r="Y372" s="14"/>
    </row>
    <row r="373" spans="2:25" x14ac:dyDescent="0.25">
      <c r="B373" s="13"/>
      <c r="C373" s="102" t="s">
        <v>2532</v>
      </c>
      <c r="D373" s="6"/>
      <c r="E373" s="6"/>
      <c r="F373" s="6"/>
      <c r="G373" s="6"/>
      <c r="H373" s="6"/>
      <c r="I373" s="6"/>
      <c r="J373" s="6"/>
      <c r="K373" s="6"/>
      <c r="L373" s="6"/>
      <c r="M373" s="6"/>
      <c r="N373" s="6"/>
      <c r="O373" s="6"/>
      <c r="P373" s="6"/>
      <c r="Q373" s="6"/>
      <c r="R373" s="6"/>
      <c r="S373" s="6"/>
      <c r="T373" s="6"/>
      <c r="U373" s="6"/>
      <c r="V373" s="6"/>
      <c r="W373" s="6"/>
      <c r="X373" s="6"/>
      <c r="Y373" s="14"/>
    </row>
    <row r="374" spans="2:25" x14ac:dyDescent="0.25">
      <c r="B374" s="13"/>
      <c r="C374" s="757"/>
      <c r="D374" s="758"/>
      <c r="E374" s="758"/>
      <c r="F374" s="758"/>
      <c r="G374" s="758"/>
      <c r="H374" s="758"/>
      <c r="I374" s="758"/>
      <c r="J374" s="758"/>
      <c r="K374" s="758"/>
      <c r="L374" s="758"/>
      <c r="M374" s="758"/>
      <c r="N374" s="758"/>
      <c r="O374" s="758"/>
      <c r="P374" s="758"/>
      <c r="Q374" s="758"/>
      <c r="R374" s="758"/>
      <c r="S374" s="758"/>
      <c r="T374" s="758"/>
      <c r="U374" s="758"/>
      <c r="V374" s="758"/>
      <c r="W374" s="759"/>
      <c r="X374" s="6"/>
      <c r="Y374" s="14"/>
    </row>
    <row r="375" spans="2:25" x14ac:dyDescent="0.25">
      <c r="B375" s="13"/>
      <c r="C375" s="760"/>
      <c r="D375" s="761"/>
      <c r="E375" s="761"/>
      <c r="F375" s="761"/>
      <c r="G375" s="761"/>
      <c r="H375" s="761"/>
      <c r="I375" s="761"/>
      <c r="J375" s="761"/>
      <c r="K375" s="761"/>
      <c r="L375" s="761"/>
      <c r="M375" s="761"/>
      <c r="N375" s="761"/>
      <c r="O375" s="761"/>
      <c r="P375" s="761"/>
      <c r="Q375" s="761"/>
      <c r="R375" s="761"/>
      <c r="S375" s="761"/>
      <c r="T375" s="761"/>
      <c r="U375" s="761"/>
      <c r="V375" s="761"/>
      <c r="W375" s="762"/>
      <c r="X375" s="6"/>
      <c r="Y375" s="14"/>
    </row>
    <row r="376" spans="2:25" x14ac:dyDescent="0.25">
      <c r="B376" s="13"/>
      <c r="C376" s="760"/>
      <c r="D376" s="761"/>
      <c r="E376" s="761"/>
      <c r="F376" s="761"/>
      <c r="G376" s="761"/>
      <c r="H376" s="761"/>
      <c r="I376" s="761"/>
      <c r="J376" s="761"/>
      <c r="K376" s="761"/>
      <c r="L376" s="761"/>
      <c r="M376" s="761"/>
      <c r="N376" s="761"/>
      <c r="O376" s="761"/>
      <c r="P376" s="761"/>
      <c r="Q376" s="761"/>
      <c r="R376" s="761"/>
      <c r="S376" s="761"/>
      <c r="T376" s="761"/>
      <c r="U376" s="761"/>
      <c r="V376" s="761"/>
      <c r="W376" s="762"/>
      <c r="X376" s="6"/>
      <c r="Y376" s="14"/>
    </row>
    <row r="377" spans="2:25" x14ac:dyDescent="0.25">
      <c r="B377" s="13"/>
      <c r="C377" s="760"/>
      <c r="D377" s="761"/>
      <c r="E377" s="761"/>
      <c r="F377" s="761"/>
      <c r="G377" s="761"/>
      <c r="H377" s="761"/>
      <c r="I377" s="761"/>
      <c r="J377" s="761"/>
      <c r="K377" s="761"/>
      <c r="L377" s="761"/>
      <c r="M377" s="761"/>
      <c r="N377" s="761"/>
      <c r="O377" s="761"/>
      <c r="P377" s="761"/>
      <c r="Q377" s="761"/>
      <c r="R377" s="761"/>
      <c r="S377" s="761"/>
      <c r="T377" s="761"/>
      <c r="U377" s="761"/>
      <c r="V377" s="761"/>
      <c r="W377" s="762"/>
      <c r="X377" s="6"/>
      <c r="Y377" s="14"/>
    </row>
    <row r="378" spans="2:25" x14ac:dyDescent="0.25">
      <c r="B378" s="13"/>
      <c r="C378" s="760"/>
      <c r="D378" s="761"/>
      <c r="E378" s="761"/>
      <c r="F378" s="761"/>
      <c r="G378" s="761"/>
      <c r="H378" s="761"/>
      <c r="I378" s="761"/>
      <c r="J378" s="761"/>
      <c r="K378" s="761"/>
      <c r="L378" s="761"/>
      <c r="M378" s="761"/>
      <c r="N378" s="761"/>
      <c r="O378" s="761"/>
      <c r="P378" s="761"/>
      <c r="Q378" s="761"/>
      <c r="R378" s="761"/>
      <c r="S378" s="761"/>
      <c r="T378" s="761"/>
      <c r="U378" s="761"/>
      <c r="V378" s="761"/>
      <c r="W378" s="762"/>
      <c r="X378" s="6"/>
      <c r="Y378" s="14"/>
    </row>
    <row r="379" spans="2:25" x14ac:dyDescent="0.25">
      <c r="B379" s="13"/>
      <c r="C379" s="760"/>
      <c r="D379" s="761"/>
      <c r="E379" s="761"/>
      <c r="F379" s="761"/>
      <c r="G379" s="761"/>
      <c r="H379" s="761"/>
      <c r="I379" s="761"/>
      <c r="J379" s="761"/>
      <c r="K379" s="761"/>
      <c r="L379" s="761"/>
      <c r="M379" s="761"/>
      <c r="N379" s="761"/>
      <c r="O379" s="761"/>
      <c r="P379" s="761"/>
      <c r="Q379" s="761"/>
      <c r="R379" s="761"/>
      <c r="S379" s="761"/>
      <c r="T379" s="761"/>
      <c r="U379" s="761"/>
      <c r="V379" s="761"/>
      <c r="W379" s="762"/>
      <c r="X379" s="6"/>
      <c r="Y379" s="14"/>
    </row>
    <row r="380" spans="2:25" x14ac:dyDescent="0.25">
      <c r="B380" s="13"/>
      <c r="C380" s="760"/>
      <c r="D380" s="761"/>
      <c r="E380" s="761"/>
      <c r="F380" s="761"/>
      <c r="G380" s="761"/>
      <c r="H380" s="761"/>
      <c r="I380" s="761"/>
      <c r="J380" s="761"/>
      <c r="K380" s="761"/>
      <c r="L380" s="761"/>
      <c r="M380" s="761"/>
      <c r="N380" s="761"/>
      <c r="O380" s="761"/>
      <c r="P380" s="761"/>
      <c r="Q380" s="761"/>
      <c r="R380" s="761"/>
      <c r="S380" s="761"/>
      <c r="T380" s="761"/>
      <c r="U380" s="761"/>
      <c r="V380" s="761"/>
      <c r="W380" s="762"/>
      <c r="X380" s="6"/>
      <c r="Y380" s="14"/>
    </row>
    <row r="381" spans="2:25" x14ac:dyDescent="0.25">
      <c r="B381" s="13"/>
      <c r="C381" s="760"/>
      <c r="D381" s="761"/>
      <c r="E381" s="761"/>
      <c r="F381" s="761"/>
      <c r="G381" s="761"/>
      <c r="H381" s="761"/>
      <c r="I381" s="761"/>
      <c r="J381" s="761"/>
      <c r="K381" s="761"/>
      <c r="L381" s="761"/>
      <c r="M381" s="761"/>
      <c r="N381" s="761"/>
      <c r="O381" s="761"/>
      <c r="P381" s="761"/>
      <c r="Q381" s="761"/>
      <c r="R381" s="761"/>
      <c r="S381" s="761"/>
      <c r="T381" s="761"/>
      <c r="U381" s="761"/>
      <c r="V381" s="761"/>
      <c r="W381" s="762"/>
      <c r="X381" s="6"/>
      <c r="Y381" s="14"/>
    </row>
    <row r="382" spans="2:25" x14ac:dyDescent="0.25">
      <c r="B382" s="13"/>
      <c r="C382" s="760"/>
      <c r="D382" s="761"/>
      <c r="E382" s="761"/>
      <c r="F382" s="761"/>
      <c r="G382" s="761"/>
      <c r="H382" s="761"/>
      <c r="I382" s="761"/>
      <c r="J382" s="761"/>
      <c r="K382" s="761"/>
      <c r="L382" s="761"/>
      <c r="M382" s="761"/>
      <c r="N382" s="761"/>
      <c r="O382" s="761"/>
      <c r="P382" s="761"/>
      <c r="Q382" s="761"/>
      <c r="R382" s="761"/>
      <c r="S382" s="761"/>
      <c r="T382" s="761"/>
      <c r="U382" s="761"/>
      <c r="V382" s="761"/>
      <c r="W382" s="762"/>
      <c r="X382" s="6"/>
      <c r="Y382" s="14"/>
    </row>
    <row r="383" spans="2:25" x14ac:dyDescent="0.25">
      <c r="B383" s="13"/>
      <c r="C383" s="763"/>
      <c r="D383" s="764"/>
      <c r="E383" s="764"/>
      <c r="F383" s="764"/>
      <c r="G383" s="764"/>
      <c r="H383" s="764"/>
      <c r="I383" s="764"/>
      <c r="J383" s="764"/>
      <c r="K383" s="764"/>
      <c r="L383" s="764"/>
      <c r="M383" s="764"/>
      <c r="N383" s="764"/>
      <c r="O383" s="764"/>
      <c r="P383" s="764"/>
      <c r="Q383" s="764"/>
      <c r="R383" s="764"/>
      <c r="S383" s="764"/>
      <c r="T383" s="764"/>
      <c r="U383" s="764"/>
      <c r="V383" s="764"/>
      <c r="W383" s="765"/>
      <c r="X383" s="6"/>
      <c r="Y383" s="14"/>
    </row>
    <row r="384" spans="2:25" x14ac:dyDescent="0.25">
      <c r="B384" s="13"/>
      <c r="C384" s="6"/>
      <c r="D384" s="6"/>
      <c r="E384" s="6"/>
      <c r="F384" s="6"/>
      <c r="G384" s="6"/>
      <c r="H384" s="6"/>
      <c r="I384" s="6"/>
      <c r="J384" s="6"/>
      <c r="K384" s="6"/>
      <c r="L384" s="6"/>
      <c r="M384" s="6"/>
      <c r="N384" s="6"/>
      <c r="O384" s="6"/>
      <c r="P384" s="6"/>
      <c r="Q384" s="6"/>
      <c r="R384" s="6"/>
      <c r="S384" s="6"/>
      <c r="T384" s="6"/>
      <c r="U384" s="6"/>
      <c r="V384" s="6"/>
      <c r="W384" s="6"/>
      <c r="X384" s="6"/>
      <c r="Y384" s="14"/>
    </row>
    <row r="385" spans="2:25" ht="15.75" thickBot="1" x14ac:dyDescent="0.3">
      <c r="B385" s="15"/>
      <c r="C385" s="16"/>
      <c r="D385" s="16"/>
      <c r="E385" s="16"/>
      <c r="F385" s="16"/>
      <c r="G385" s="16"/>
      <c r="H385" s="16"/>
      <c r="I385" s="16"/>
      <c r="J385" s="16"/>
      <c r="K385" s="16"/>
      <c r="L385" s="16"/>
      <c r="M385" s="16"/>
      <c r="N385" s="16"/>
      <c r="O385" s="16"/>
      <c r="P385" s="16"/>
      <c r="Q385" s="16"/>
      <c r="R385" s="16"/>
      <c r="S385" s="16"/>
      <c r="T385" s="16"/>
      <c r="U385" s="16"/>
      <c r="V385" s="16"/>
      <c r="W385" s="16"/>
      <c r="X385" s="16"/>
      <c r="Y385" s="17"/>
    </row>
  </sheetData>
  <sheetProtection algorithmName="SHA-512" hashValue="yjcKvtvCDylGl1OSYVIHKc1bed40tTXRrBfaU9v0EcWjiGo+1S2r4ssZ7xVB687vQQp4CiUufa6VFLBI6rmYcg==" saltValue="iJhvjJ/JRqXp04ORIcr0cw==" spinCount="100000" sheet="1" objects="1" scenarios="1"/>
  <mergeCells count="283">
    <mergeCell ref="H102:I102"/>
    <mergeCell ref="M102:N102"/>
    <mergeCell ref="R102:S102"/>
    <mergeCell ref="K105:L105"/>
    <mergeCell ref="K107:L107"/>
    <mergeCell ref="K108:L108"/>
    <mergeCell ref="K109:L109"/>
    <mergeCell ref="M106:N106"/>
    <mergeCell ref="M107:N107"/>
    <mergeCell ref="M108:N108"/>
    <mergeCell ref="M105:N105"/>
    <mergeCell ref="O108:P108"/>
    <mergeCell ref="O107:P107"/>
    <mergeCell ref="K106:L106"/>
    <mergeCell ref="R95:S95"/>
    <mergeCell ref="O272:T272"/>
    <mergeCell ref="N352:O352"/>
    <mergeCell ref="N351:O351"/>
    <mergeCell ref="N350:O350"/>
    <mergeCell ref="L344:M344"/>
    <mergeCell ref="L350:M350"/>
    <mergeCell ref="L351:M351"/>
    <mergeCell ref="L352:M352"/>
    <mergeCell ref="O277:T277"/>
    <mergeCell ref="L345:M345"/>
    <mergeCell ref="L349:M349"/>
    <mergeCell ref="N225:O225"/>
    <mergeCell ref="R175:S175"/>
    <mergeCell ref="R176:S176"/>
    <mergeCell ref="R187:S187"/>
    <mergeCell ref="R181:S181"/>
    <mergeCell ref="R162:S162"/>
    <mergeCell ref="R164:S164"/>
    <mergeCell ref="R186:S186"/>
    <mergeCell ref="R183:S183"/>
    <mergeCell ref="R184:S184"/>
    <mergeCell ref="C178:X179"/>
    <mergeCell ref="C166:Q167"/>
    <mergeCell ref="J318:K318"/>
    <mergeCell ref="C302:T303"/>
    <mergeCell ref="N227:O227"/>
    <mergeCell ref="C211:X215"/>
    <mergeCell ref="J266:K266"/>
    <mergeCell ref="J267:K267"/>
    <mergeCell ref="AB4:AC4"/>
    <mergeCell ref="L277:M277"/>
    <mergeCell ref="J239:K239"/>
    <mergeCell ref="C244:W248"/>
    <mergeCell ref="J262:K262"/>
    <mergeCell ref="J265:K265"/>
    <mergeCell ref="N226:O226"/>
    <mergeCell ref="D253:E253"/>
    <mergeCell ref="J240:K240"/>
    <mergeCell ref="L262:M262"/>
    <mergeCell ref="L267:M267"/>
    <mergeCell ref="N218:O218"/>
    <mergeCell ref="D251:E251"/>
    <mergeCell ref="D252:E252"/>
    <mergeCell ref="N228:O228"/>
    <mergeCell ref="O111:P111"/>
    <mergeCell ref="P227:Q227"/>
    <mergeCell ref="P229:Q229"/>
    <mergeCell ref="J306:K306"/>
    <mergeCell ref="J312:K312"/>
    <mergeCell ref="J304:K304"/>
    <mergeCell ref="L286:M286"/>
    <mergeCell ref="J281:K281"/>
    <mergeCell ref="J280:K280"/>
    <mergeCell ref="L285:M285"/>
    <mergeCell ref="J270:K270"/>
    <mergeCell ref="J282:K282"/>
    <mergeCell ref="J283:K283"/>
    <mergeCell ref="J284:K284"/>
    <mergeCell ref="L280:M280"/>
    <mergeCell ref="L281:M281"/>
    <mergeCell ref="L282:M282"/>
    <mergeCell ref="L283:M283"/>
    <mergeCell ref="L284:M284"/>
    <mergeCell ref="J277:K277"/>
    <mergeCell ref="J271:K271"/>
    <mergeCell ref="J272:K272"/>
    <mergeCell ref="J276:K276"/>
    <mergeCell ref="L272:M272"/>
    <mergeCell ref="S147:T147"/>
    <mergeCell ref="Q143:R143"/>
    <mergeCell ref="Q142:R142"/>
    <mergeCell ref="Q134:R134"/>
    <mergeCell ref="U134:V134"/>
    <mergeCell ref="Q133:R133"/>
    <mergeCell ref="S139:T139"/>
    <mergeCell ref="Q140:R140"/>
    <mergeCell ref="Q146:R146"/>
    <mergeCell ref="Q145:R145"/>
    <mergeCell ref="C151:W155"/>
    <mergeCell ref="K110:L110"/>
    <mergeCell ref="M111:N111"/>
    <mergeCell ref="Q135:R135"/>
    <mergeCell ref="S135:T135"/>
    <mergeCell ref="U133:V133"/>
    <mergeCell ref="S133:T133"/>
    <mergeCell ref="J88:K88"/>
    <mergeCell ref="H99:I99"/>
    <mergeCell ref="M99:N99"/>
    <mergeCell ref="M95:N95"/>
    <mergeCell ref="J95:L95"/>
    <mergeCell ref="J96:L99"/>
    <mergeCell ref="O95:Q95"/>
    <mergeCell ref="O96:Q99"/>
    <mergeCell ref="H96:I96"/>
    <mergeCell ref="M96:N96"/>
    <mergeCell ref="H97:I97"/>
    <mergeCell ref="M97:N97"/>
    <mergeCell ref="M98:N98"/>
    <mergeCell ref="H98:I98"/>
    <mergeCell ref="C90:I91"/>
    <mergeCell ref="J90:K91"/>
    <mergeCell ref="T95:V95"/>
    <mergeCell ref="T96:V99"/>
    <mergeCell ref="D14:V18"/>
    <mergeCell ref="P9:Q9"/>
    <mergeCell ref="S10:T10"/>
    <mergeCell ref="C39:I39"/>
    <mergeCell ref="C38:I38"/>
    <mergeCell ref="M39:N39"/>
    <mergeCell ref="M38:N38"/>
    <mergeCell ref="M22:N22"/>
    <mergeCell ref="P22:Q22"/>
    <mergeCell ref="M23:N23"/>
    <mergeCell ref="P23:Q23"/>
    <mergeCell ref="S11:V11"/>
    <mergeCell ref="L11:N11"/>
    <mergeCell ref="P25:Q25"/>
    <mergeCell ref="M37:N37"/>
    <mergeCell ref="M32:N32"/>
    <mergeCell ref="P20:Q20"/>
    <mergeCell ref="M36:N36"/>
    <mergeCell ref="C33:Q34"/>
    <mergeCell ref="I66:M66"/>
    <mergeCell ref="M46:N46"/>
    <mergeCell ref="M47:N47"/>
    <mergeCell ref="M48:N48"/>
    <mergeCell ref="P48:Q48"/>
    <mergeCell ref="P45:Q45"/>
    <mergeCell ref="P71:Q71"/>
    <mergeCell ref="C71:I71"/>
    <mergeCell ref="D48:L48"/>
    <mergeCell ref="D47:L47"/>
    <mergeCell ref="D46:L46"/>
    <mergeCell ref="J71:K71"/>
    <mergeCell ref="L71:M71"/>
    <mergeCell ref="N71:O71"/>
    <mergeCell ref="D52:X56"/>
    <mergeCell ref="C41:U42"/>
    <mergeCell ref="C72:I72"/>
    <mergeCell ref="C73:I73"/>
    <mergeCell ref="J80:K80"/>
    <mergeCell ref="L80:M80"/>
    <mergeCell ref="N80:O80"/>
    <mergeCell ref="P80:Q80"/>
    <mergeCell ref="J76:K76"/>
    <mergeCell ref="L76:M76"/>
    <mergeCell ref="N76:O76"/>
    <mergeCell ref="P76:Q76"/>
    <mergeCell ref="C76:I76"/>
    <mergeCell ref="C77:I77"/>
    <mergeCell ref="J77:K77"/>
    <mergeCell ref="L77:M77"/>
    <mergeCell ref="N77:O77"/>
    <mergeCell ref="P77:Q77"/>
    <mergeCell ref="J72:K72"/>
    <mergeCell ref="J73:K73"/>
    <mergeCell ref="L73:M73"/>
    <mergeCell ref="N73:O73"/>
    <mergeCell ref="P73:Q73"/>
    <mergeCell ref="L72:M72"/>
    <mergeCell ref="I67:M67"/>
    <mergeCell ref="C81:I81"/>
    <mergeCell ref="J81:K81"/>
    <mergeCell ref="L81:M81"/>
    <mergeCell ref="N81:O81"/>
    <mergeCell ref="P81:Q81"/>
    <mergeCell ref="C78:I78"/>
    <mergeCell ref="J78:K78"/>
    <mergeCell ref="L78:M78"/>
    <mergeCell ref="N78:O78"/>
    <mergeCell ref="P78:Q78"/>
    <mergeCell ref="C80:I80"/>
    <mergeCell ref="C82:I82"/>
    <mergeCell ref="J82:K82"/>
    <mergeCell ref="L82:M82"/>
    <mergeCell ref="N82:O82"/>
    <mergeCell ref="P82:Q82"/>
    <mergeCell ref="P222:Q222"/>
    <mergeCell ref="P226:Q226"/>
    <mergeCell ref="E93:F93"/>
    <mergeCell ref="H95:I95"/>
    <mergeCell ref="C89:I89"/>
    <mergeCell ref="C88:I88"/>
    <mergeCell ref="N87:O87"/>
    <mergeCell ref="P87:Q87"/>
    <mergeCell ref="J89:K89"/>
    <mergeCell ref="L89:M89"/>
    <mergeCell ref="N88:O88"/>
    <mergeCell ref="P88:Q88"/>
    <mergeCell ref="N89:O89"/>
    <mergeCell ref="P89:Q89"/>
    <mergeCell ref="J87:K87"/>
    <mergeCell ref="L87:M87"/>
    <mergeCell ref="C87:I87"/>
    <mergeCell ref="L88:M88"/>
    <mergeCell ref="N219:O219"/>
    <mergeCell ref="W24:X24"/>
    <mergeCell ref="W25:X25"/>
    <mergeCell ref="W47:X47"/>
    <mergeCell ref="W48:X48"/>
    <mergeCell ref="O105:P105"/>
    <mergeCell ref="O106:P106"/>
    <mergeCell ref="W146:X146"/>
    <mergeCell ref="W147:X147"/>
    <mergeCell ref="W186:X186"/>
    <mergeCell ref="N72:O72"/>
    <mergeCell ref="P72:Q72"/>
    <mergeCell ref="R96:S96"/>
    <mergeCell ref="R97:S97"/>
    <mergeCell ref="R98:S98"/>
    <mergeCell ref="R174:S174"/>
    <mergeCell ref="S134:T134"/>
    <mergeCell ref="S144:T144"/>
    <mergeCell ref="R99:S99"/>
    <mergeCell ref="U135:V135"/>
    <mergeCell ref="Q136:R136"/>
    <mergeCell ref="S136:T136"/>
    <mergeCell ref="U136:V136"/>
    <mergeCell ref="Q141:R141"/>
    <mergeCell ref="D115:X124"/>
    <mergeCell ref="D191:X195"/>
    <mergeCell ref="O267:T267"/>
    <mergeCell ref="D290:X294"/>
    <mergeCell ref="J307:K307"/>
    <mergeCell ref="J314:K314"/>
    <mergeCell ref="R168:S168"/>
    <mergeCell ref="R173:S173"/>
    <mergeCell ref="R170:S170"/>
    <mergeCell ref="R169:S169"/>
    <mergeCell ref="R171:S171"/>
    <mergeCell ref="J305:K305"/>
    <mergeCell ref="J275:K275"/>
    <mergeCell ref="L310:M310"/>
    <mergeCell ref="J313:K313"/>
    <mergeCell ref="W187:X187"/>
    <mergeCell ref="W227:X227"/>
    <mergeCell ref="W229:X229"/>
    <mergeCell ref="W252:X252"/>
    <mergeCell ref="W253:X253"/>
    <mergeCell ref="W285:X285"/>
    <mergeCell ref="W286:X286"/>
    <mergeCell ref="L260:M260"/>
    <mergeCell ref="N224:O224"/>
    <mergeCell ref="R185:S185"/>
    <mergeCell ref="C374:W383"/>
    <mergeCell ref="J316:K316"/>
    <mergeCell ref="J317:K317"/>
    <mergeCell ref="L315:M315"/>
    <mergeCell ref="L316:M316"/>
    <mergeCell ref="L317:M317"/>
    <mergeCell ref="D323:X327"/>
    <mergeCell ref="D357:X361"/>
    <mergeCell ref="R370:S370"/>
    <mergeCell ref="W370:X370"/>
    <mergeCell ref="W352:X352"/>
    <mergeCell ref="W353:X353"/>
    <mergeCell ref="L340:M340"/>
    <mergeCell ref="J315:K315"/>
    <mergeCell ref="L319:M319"/>
    <mergeCell ref="W317:X317"/>
    <mergeCell ref="W319:X319"/>
    <mergeCell ref="L338:M338"/>
    <mergeCell ref="L339:M339"/>
    <mergeCell ref="L337:M337"/>
    <mergeCell ref="L343:M343"/>
    <mergeCell ref="N353:O353"/>
    <mergeCell ref="L342:M342"/>
    <mergeCell ref="N347:O347"/>
  </mergeCells>
  <conditionalFormatting sqref="S11:V11">
    <cfRule type="expression" dxfId="50" priority="16">
      <formula>$S$11&lt;&gt;""</formula>
    </cfRule>
  </conditionalFormatting>
  <conditionalFormatting sqref="O272:T272">
    <cfRule type="expression" dxfId="49" priority="15">
      <formula>$O$272="ATTENTION : Problème de cohérence des données"</formula>
    </cfRule>
  </conditionalFormatting>
  <conditionalFormatting sqref="O277:T277">
    <cfRule type="expression" dxfId="48" priority="14">
      <formula>$O$277="ATTENTION : Problème de cohérence des données"</formula>
    </cfRule>
  </conditionalFormatting>
  <conditionalFormatting sqref="O267:T267">
    <cfRule type="expression" dxfId="47" priority="11">
      <formula>$O$267="ATTENTION : Problème de cohérence des données"</formula>
    </cfRule>
  </conditionalFormatting>
  <conditionalFormatting sqref="R169:S169">
    <cfRule type="expression" dxfId="46" priority="10">
      <formula>$R$168="Non"</formula>
    </cfRule>
  </conditionalFormatting>
  <conditionalFormatting sqref="R174:S174">
    <cfRule type="expression" dxfId="45" priority="9">
      <formula>$R$173="Non"</formula>
    </cfRule>
  </conditionalFormatting>
  <conditionalFormatting sqref="P38:U38">
    <cfRule type="expression" dxfId="44" priority="17">
      <formula>$P$38&lt;&gt;""</formula>
    </cfRule>
  </conditionalFormatting>
  <conditionalFormatting sqref="P39:U39">
    <cfRule type="expression" dxfId="43" priority="19">
      <formula>$P$39&lt;&gt;""</formula>
    </cfRule>
  </conditionalFormatting>
  <conditionalFormatting sqref="R218:V218">
    <cfRule type="expression" dxfId="42" priority="8">
      <formula>$R$218&lt;&gt;""</formula>
    </cfRule>
  </conditionalFormatting>
  <conditionalFormatting sqref="R219:V219">
    <cfRule type="expression" dxfId="41" priority="7">
      <formula>$R$219&lt;&gt;""</formula>
    </cfRule>
  </conditionalFormatting>
  <conditionalFormatting sqref="M305:Q305">
    <cfRule type="expression" dxfId="40" priority="6">
      <formula>$M$305&lt;&gt;""</formula>
    </cfRule>
  </conditionalFormatting>
  <conditionalFormatting sqref="M306:T306">
    <cfRule type="expression" dxfId="39" priority="5">
      <formula>$M$306&lt;&gt;""</formula>
    </cfRule>
  </conditionalFormatting>
  <conditionalFormatting sqref="M307:T307">
    <cfRule type="expression" dxfId="38" priority="4">
      <formula>$M$307&lt;&gt;""</formula>
    </cfRule>
  </conditionalFormatting>
  <conditionalFormatting sqref="O339:S339">
    <cfRule type="expression" dxfId="37" priority="3">
      <formula>$O$339&lt;&gt;""</formula>
    </cfRule>
  </conditionalFormatting>
  <conditionalFormatting sqref="O343:S343">
    <cfRule type="expression" dxfId="36" priority="2">
      <formula>$O$343&lt;&gt;""</formula>
    </cfRule>
  </conditionalFormatting>
  <conditionalFormatting sqref="O344:S344">
    <cfRule type="expression" dxfId="35" priority="1">
      <formula>$O$344&lt;&gt;""</formula>
    </cfRule>
  </conditionalFormatting>
  <dataValidations count="4">
    <dataValidation type="list" allowBlank="1" showInputMessage="1" showErrorMessage="1" sqref="R164:S164 R162:S162 R168:S168 R173:S173 M22:N23 H102 M102 R102">
      <formula1>"Oui,Non"</formula1>
    </dataValidation>
    <dataValidation type="list" allowBlank="1" showInputMessage="1" showErrorMessage="1" sqref="L11">
      <formula1>"Oui, Oui avec dérogation,Non"</formula1>
    </dataValidation>
    <dataValidation type="whole" allowBlank="1" showInputMessage="1" showErrorMessage="1" sqref="J240:K240">
      <formula1>0</formula1>
      <formula2>99999</formula2>
    </dataValidation>
    <dataValidation type="whole" allowBlank="1" showInputMessage="1" showErrorMessage="1" sqref="J262:K262 J266:K267 J271:K272 J276:K277">
      <formula1>0</formula1>
      <formula2>10000</formula2>
    </dataValidation>
  </dataValidations>
  <pageMargins left="0.7" right="0.7" top="0.75" bottom="0.75" header="0.3" footer="0.3"/>
  <pageSetup paperSize="9" scale="44" fitToHeight="0" orientation="landscape" r:id="rId1"/>
  <ignoredErrors>
    <ignoredError sqref="K106 Q73 O73 M73 O72 M72 Q72 K72 K73 N72:N73"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AM380"/>
  <sheetViews>
    <sheetView showGridLines="0" zoomScale="85" zoomScaleNormal="85" workbookViewId="0">
      <pane ySplit="5" topLeftCell="A6" activePane="bottomLeft" state="frozen"/>
      <selection activeCell="AA19" sqref="AA19"/>
      <selection pane="bottomLeft" activeCell="H7" sqref="H7"/>
    </sheetView>
  </sheetViews>
  <sheetFormatPr baseColWidth="10" defaultColWidth="9.140625" defaultRowHeight="15" x14ac:dyDescent="0.25"/>
  <cols>
    <col min="27" max="27" width="9.140625" customWidth="1"/>
    <col min="28" max="28" width="9.140625" hidden="1" customWidth="1"/>
    <col min="29" max="29" width="10.140625" hidden="1" customWidth="1"/>
    <col min="30" max="30" width="9.140625" hidden="1" customWidth="1"/>
    <col min="31" max="31" width="11.140625" hidden="1" customWidth="1"/>
    <col min="32" max="34" width="9.140625" hidden="1" customWidth="1"/>
    <col min="35" max="35" width="6.85546875" hidden="1" customWidth="1"/>
    <col min="36" max="36" width="4.85546875" hidden="1" customWidth="1"/>
    <col min="37" max="38" width="14.28515625" hidden="1" customWidth="1"/>
    <col min="39" max="39" width="6.140625" hidden="1" customWidth="1"/>
    <col min="40" max="40" width="7" customWidth="1"/>
    <col min="41" max="45" width="9.140625" customWidth="1"/>
  </cols>
  <sheetData>
    <row r="1" spans="1:26" x14ac:dyDescent="0.25">
      <c r="A1" s="29"/>
      <c r="B1" s="29"/>
      <c r="C1" s="29"/>
      <c r="D1" s="29"/>
      <c r="E1" s="29"/>
      <c r="F1" s="29"/>
      <c r="G1" s="29"/>
      <c r="H1" s="29"/>
      <c r="I1" s="29"/>
      <c r="J1" s="29"/>
      <c r="K1" s="81"/>
      <c r="L1" s="81"/>
      <c r="M1" s="81"/>
      <c r="N1" s="81"/>
      <c r="O1" s="29"/>
      <c r="P1" s="29"/>
      <c r="Q1" s="29"/>
      <c r="R1" s="29"/>
      <c r="S1" s="83" t="s">
        <v>715</v>
      </c>
      <c r="T1" s="29"/>
      <c r="U1" s="29"/>
      <c r="V1" s="29"/>
      <c r="W1" s="29"/>
      <c r="X1" s="29"/>
      <c r="Y1" s="29"/>
      <c r="Z1" s="29"/>
    </row>
    <row r="2" spans="1:26" x14ac:dyDescent="0.25">
      <c r="A2" s="29"/>
      <c r="B2" s="29"/>
      <c r="C2" s="29"/>
      <c r="D2" s="29"/>
      <c r="E2" s="29"/>
      <c r="F2" s="29"/>
      <c r="G2" s="29"/>
      <c r="H2" s="29"/>
      <c r="I2" s="29"/>
      <c r="J2" s="29"/>
      <c r="K2" s="81"/>
      <c r="L2" s="81"/>
      <c r="M2" s="81"/>
      <c r="N2" s="81"/>
      <c r="O2" s="29"/>
      <c r="P2" s="29"/>
      <c r="Q2" s="29"/>
      <c r="R2" s="29"/>
      <c r="S2" s="83" t="s">
        <v>716</v>
      </c>
      <c r="T2" s="29"/>
      <c r="U2" s="29"/>
      <c r="V2" s="29"/>
      <c r="W2" s="29"/>
      <c r="X2" s="29"/>
      <c r="Y2" s="29"/>
      <c r="Z2" s="29"/>
    </row>
    <row r="3" spans="1:26" x14ac:dyDescent="0.25">
      <c r="A3" s="29"/>
      <c r="B3" s="29"/>
      <c r="C3" s="29"/>
      <c r="D3" s="29"/>
      <c r="E3" s="29"/>
      <c r="F3" s="29"/>
      <c r="G3" s="29"/>
      <c r="H3" s="29"/>
      <c r="I3" s="29"/>
      <c r="J3" s="29"/>
      <c r="K3" s="81"/>
      <c r="L3" s="81"/>
      <c r="M3" s="81"/>
      <c r="N3" s="81"/>
      <c r="O3" s="29"/>
      <c r="P3" s="29"/>
      <c r="Q3" s="29"/>
      <c r="R3" s="29"/>
      <c r="S3" s="82" t="s">
        <v>603</v>
      </c>
      <c r="T3" s="29"/>
      <c r="U3" s="29"/>
      <c r="V3" s="29"/>
      <c r="W3" s="29"/>
      <c r="X3" s="29"/>
      <c r="Y3" s="29"/>
      <c r="Z3" s="29"/>
    </row>
    <row r="4" spans="1:26" x14ac:dyDescent="0.25">
      <c r="A4" s="29"/>
      <c r="B4" s="29"/>
      <c r="C4" s="29"/>
      <c r="D4" s="29"/>
      <c r="E4" s="29"/>
      <c r="F4" s="29"/>
      <c r="G4" s="29"/>
      <c r="H4" s="29"/>
      <c r="I4" s="29"/>
      <c r="J4" s="29"/>
      <c r="K4" s="29"/>
      <c r="L4" s="29"/>
      <c r="M4" s="29"/>
      <c r="N4" s="29"/>
      <c r="O4" s="29"/>
      <c r="P4" s="29"/>
      <c r="Q4" s="29"/>
      <c r="R4" s="29"/>
      <c r="S4" s="29"/>
      <c r="T4" s="29"/>
      <c r="U4" s="29"/>
      <c r="V4" s="29"/>
      <c r="W4" s="29"/>
      <c r="X4" s="29"/>
      <c r="Y4" s="696" t="str">
        <f>Accueil!I6</f>
        <v>Version 1.06</v>
      </c>
      <c r="Z4" s="696"/>
    </row>
    <row r="5" spans="1:26" x14ac:dyDescent="0.25">
      <c r="A5" s="29"/>
      <c r="B5" s="29"/>
      <c r="C5" s="29"/>
      <c r="D5" s="29"/>
      <c r="E5" s="29"/>
      <c r="F5" s="29"/>
      <c r="G5" s="29"/>
      <c r="H5" s="29"/>
      <c r="I5" s="29"/>
      <c r="J5" s="29"/>
      <c r="K5" s="29"/>
      <c r="L5" s="29"/>
      <c r="M5" s="29"/>
      <c r="N5" s="29"/>
      <c r="O5" s="29"/>
      <c r="P5" s="29"/>
      <c r="Q5" s="29"/>
      <c r="R5" s="29"/>
      <c r="S5" s="29"/>
      <c r="T5" s="29"/>
      <c r="U5" s="29"/>
      <c r="V5" s="29"/>
      <c r="W5" s="29"/>
      <c r="X5" s="29"/>
      <c r="Y5" s="29"/>
      <c r="Z5" s="29"/>
    </row>
    <row r="7" spans="1:26" ht="15.75" thickBot="1" x14ac:dyDescent="0.3"/>
    <row r="8" spans="1:26" x14ac:dyDescent="0.25">
      <c r="B8" s="18"/>
      <c r="C8" s="19"/>
      <c r="D8" s="19"/>
      <c r="E8" s="19"/>
      <c r="F8" s="19"/>
      <c r="G8" s="19"/>
      <c r="H8" s="19"/>
      <c r="I8" s="19"/>
      <c r="J8" s="19"/>
      <c r="K8" s="19"/>
      <c r="L8" s="19"/>
      <c r="M8" s="19"/>
      <c r="N8" s="19"/>
      <c r="O8" s="19"/>
      <c r="P8" s="19"/>
      <c r="Q8" s="19"/>
      <c r="R8" s="19"/>
      <c r="S8" s="19"/>
      <c r="T8" s="19"/>
      <c r="U8" s="19"/>
      <c r="V8" s="19"/>
      <c r="W8" s="19"/>
      <c r="X8" s="19"/>
      <c r="Y8" s="20"/>
    </row>
    <row r="9" spans="1:26" ht="16.5" customHeight="1" x14ac:dyDescent="0.25">
      <c r="B9" s="21"/>
      <c r="C9" s="6"/>
      <c r="D9" s="6"/>
      <c r="E9" s="6"/>
      <c r="F9" s="6"/>
      <c r="G9" s="6"/>
      <c r="H9" s="6"/>
      <c r="I9" s="6"/>
      <c r="J9" s="6"/>
      <c r="K9" s="6"/>
      <c r="L9" s="6"/>
      <c r="M9" s="6"/>
      <c r="N9" s="6"/>
      <c r="O9" s="6"/>
      <c r="P9" s="6"/>
      <c r="Q9" s="6"/>
      <c r="R9" s="6"/>
      <c r="S9" s="6"/>
      <c r="T9" s="6"/>
      <c r="U9" s="6"/>
      <c r="V9" s="6"/>
      <c r="W9" s="6"/>
      <c r="X9" s="6"/>
      <c r="Y9" s="22"/>
    </row>
    <row r="10" spans="1:26" x14ac:dyDescent="0.25">
      <c r="B10" s="21"/>
      <c r="C10" s="175" t="s">
        <v>447</v>
      </c>
      <c r="D10" s="147"/>
      <c r="E10" s="147"/>
      <c r="F10" s="147"/>
      <c r="G10" s="147"/>
      <c r="H10" s="147"/>
      <c r="I10" s="147"/>
      <c r="J10" s="147"/>
      <c r="K10" s="147"/>
      <c r="L10" s="147"/>
      <c r="M10" s="147"/>
      <c r="N10" s="147"/>
      <c r="O10" s="147"/>
      <c r="P10" s="1030" t="s">
        <v>336</v>
      </c>
      <c r="Q10" s="1030"/>
      <c r="R10" s="1030"/>
      <c r="S10" s="1030"/>
      <c r="T10" s="1030"/>
      <c r="U10" s="1030"/>
      <c r="V10" s="1030"/>
      <c r="W10" s="1030"/>
      <c r="X10" s="179"/>
      <c r="Y10" s="22"/>
    </row>
    <row r="11" spans="1:26" x14ac:dyDescent="0.25">
      <c r="B11" s="21"/>
      <c r="C11" s="176"/>
      <c r="D11" s="102" t="s">
        <v>448</v>
      </c>
      <c r="E11" s="6"/>
      <c r="F11" s="6"/>
      <c r="G11" s="6"/>
      <c r="H11" s="6"/>
      <c r="I11" s="6"/>
      <c r="J11" s="6"/>
      <c r="K11" s="6"/>
      <c r="L11" s="6"/>
      <c r="M11" s="6"/>
      <c r="N11" s="6"/>
      <c r="O11" s="6"/>
      <c r="P11" s="999" t="str">
        <f>TEXT(cCampagneN,"0000-00")</f>
        <v>N</v>
      </c>
      <c r="Q11" s="999"/>
      <c r="R11" s="6"/>
      <c r="S11" s="999" t="str">
        <f>cCampagneN1</f>
        <v>N-1</v>
      </c>
      <c r="T11" s="999"/>
      <c r="U11" s="6"/>
      <c r="V11" s="999" t="str">
        <f>CCampagneN2</f>
        <v>N-2</v>
      </c>
      <c r="W11" s="999"/>
      <c r="X11" s="177"/>
      <c r="Y11" s="22"/>
    </row>
    <row r="12" spans="1:26" x14ac:dyDescent="0.25">
      <c r="B12" s="21"/>
      <c r="C12" s="176"/>
      <c r="D12" s="70"/>
      <c r="E12" s="51" t="s">
        <v>2437</v>
      </c>
      <c r="F12" s="51"/>
      <c r="G12" s="51"/>
      <c r="H12" s="51"/>
      <c r="I12" s="51"/>
      <c r="J12" s="51"/>
      <c r="K12" s="51"/>
      <c r="L12" s="51"/>
      <c r="M12" s="51"/>
      <c r="N12" s="51"/>
      <c r="O12" s="47"/>
      <c r="P12" s="794"/>
      <c r="Q12" s="795"/>
      <c r="R12" s="6"/>
      <c r="S12" s="794"/>
      <c r="T12" s="795"/>
      <c r="U12" s="6"/>
      <c r="V12" s="794"/>
      <c r="W12" s="795"/>
      <c r="X12" s="177"/>
      <c r="Y12" s="22"/>
    </row>
    <row r="13" spans="1:26" x14ac:dyDescent="0.25">
      <c r="B13" s="21"/>
      <c r="C13" s="176"/>
      <c r="D13" s="70"/>
      <c r="E13" s="51" t="s">
        <v>2381</v>
      </c>
      <c r="F13" s="51"/>
      <c r="G13" s="51"/>
      <c r="H13" s="51"/>
      <c r="I13" s="51"/>
      <c r="J13" s="51"/>
      <c r="K13" s="51"/>
      <c r="L13" s="51"/>
      <c r="M13" s="51"/>
      <c r="N13" s="51"/>
      <c r="O13" s="47"/>
      <c r="P13" s="794"/>
      <c r="Q13" s="795"/>
      <c r="R13" s="6"/>
      <c r="S13" s="794"/>
      <c r="T13" s="795"/>
      <c r="U13" s="6"/>
      <c r="V13" s="794"/>
      <c r="W13" s="795"/>
      <c r="X13" s="177"/>
      <c r="Y13" s="22"/>
    </row>
    <row r="14" spans="1:26" x14ac:dyDescent="0.25">
      <c r="B14" s="21"/>
      <c r="C14" s="176"/>
      <c r="D14" s="70"/>
      <c r="E14" s="52" t="s">
        <v>2382</v>
      </c>
      <c r="F14" s="52"/>
      <c r="G14" s="52"/>
      <c r="H14" s="52"/>
      <c r="I14" s="52"/>
      <c r="J14" s="52"/>
      <c r="K14" s="52"/>
      <c r="L14" s="52"/>
      <c r="M14" s="52"/>
      <c r="N14" s="52"/>
      <c r="O14" s="48"/>
      <c r="P14" s="794"/>
      <c r="Q14" s="795"/>
      <c r="R14" s="6"/>
      <c r="S14" s="794"/>
      <c r="T14" s="795"/>
      <c r="U14" s="6"/>
      <c r="V14" s="794"/>
      <c r="W14" s="795"/>
      <c r="X14" s="177"/>
      <c r="Y14" s="22"/>
    </row>
    <row r="15" spans="1:26" x14ac:dyDescent="0.25">
      <c r="B15" s="21"/>
      <c r="C15" s="176"/>
      <c r="E15" s="52" t="s">
        <v>2383</v>
      </c>
      <c r="F15" s="52"/>
      <c r="G15" s="52"/>
      <c r="H15" s="52"/>
      <c r="I15" s="52"/>
      <c r="J15" s="52"/>
      <c r="K15" s="52"/>
      <c r="L15" s="52"/>
      <c r="M15" s="52"/>
      <c r="N15" s="52"/>
      <c r="O15" s="48"/>
      <c r="P15" s="794"/>
      <c r="Q15" s="795"/>
      <c r="R15" s="6"/>
      <c r="S15" s="794"/>
      <c r="T15" s="795"/>
      <c r="U15" s="6"/>
      <c r="V15" s="794"/>
      <c r="W15" s="795"/>
      <c r="X15" s="177"/>
      <c r="Y15" s="22"/>
    </row>
    <row r="16" spans="1:26" x14ac:dyDescent="0.25">
      <c r="B16" s="21"/>
      <c r="C16" s="176"/>
      <c r="D16" s="70"/>
      <c r="E16" s="6"/>
      <c r="F16" s="6"/>
      <c r="G16" s="6"/>
      <c r="H16" s="6"/>
      <c r="I16" s="6"/>
      <c r="J16" s="6"/>
      <c r="K16" s="6"/>
      <c r="L16" s="6"/>
      <c r="M16" s="6"/>
      <c r="N16" s="6"/>
      <c r="O16" s="6"/>
      <c r="P16" s="6"/>
      <c r="Q16" s="6"/>
      <c r="R16" s="6"/>
      <c r="S16" s="6"/>
      <c r="T16" s="6"/>
      <c r="U16" s="6"/>
      <c r="V16" s="6"/>
      <c r="W16" s="6"/>
      <c r="X16" s="177"/>
      <c r="Y16" s="22"/>
    </row>
    <row r="17" spans="2:25" x14ac:dyDescent="0.25">
      <c r="B17" s="21"/>
      <c r="C17" s="176"/>
      <c r="D17" s="102" t="s">
        <v>449</v>
      </c>
      <c r="E17" s="6"/>
      <c r="F17" s="6"/>
      <c r="G17" s="6"/>
      <c r="H17" s="6"/>
      <c r="I17" s="6"/>
      <c r="J17" s="6"/>
      <c r="K17" s="6"/>
      <c r="L17" s="6"/>
      <c r="M17" s="6"/>
      <c r="N17" s="6"/>
      <c r="O17" s="6"/>
      <c r="P17" s="6"/>
      <c r="Q17" s="6"/>
      <c r="R17" s="6"/>
      <c r="S17" s="6"/>
      <c r="T17" s="6"/>
      <c r="U17" s="6"/>
      <c r="V17" s="6"/>
      <c r="W17" s="6"/>
      <c r="X17" s="177"/>
      <c r="Y17" s="22"/>
    </row>
    <row r="18" spans="2:25" x14ac:dyDescent="0.25">
      <c r="B18" s="21"/>
      <c r="C18" s="176"/>
      <c r="D18" s="102"/>
      <c r="E18" s="51" t="s">
        <v>2384</v>
      </c>
      <c r="F18" s="51"/>
      <c r="G18" s="51"/>
      <c r="H18" s="51"/>
      <c r="I18" s="51"/>
      <c r="J18" s="51"/>
      <c r="K18" s="51"/>
      <c r="L18" s="51"/>
      <c r="M18" s="51"/>
      <c r="N18" s="51"/>
      <c r="O18" s="47"/>
      <c r="P18" s="794"/>
      <c r="Q18" s="795"/>
      <c r="R18" s="6"/>
      <c r="S18" s="794"/>
      <c r="T18" s="795"/>
      <c r="U18" s="6"/>
      <c r="V18" s="794"/>
      <c r="W18" s="795"/>
      <c r="X18" s="177"/>
      <c r="Y18" s="22"/>
    </row>
    <row r="19" spans="2:25" x14ac:dyDescent="0.25">
      <c r="B19" s="21"/>
      <c r="C19" s="176"/>
      <c r="D19" s="70"/>
      <c r="E19" s="51" t="s">
        <v>2385</v>
      </c>
      <c r="F19" s="51"/>
      <c r="G19" s="51"/>
      <c r="H19" s="51"/>
      <c r="I19" s="51"/>
      <c r="J19" s="51"/>
      <c r="K19" s="51"/>
      <c r="L19" s="51"/>
      <c r="M19" s="51"/>
      <c r="N19" s="51"/>
      <c r="O19" s="47"/>
      <c r="P19" s="794"/>
      <c r="Q19" s="795"/>
      <c r="R19" s="6"/>
      <c r="S19" s="794"/>
      <c r="T19" s="795"/>
      <c r="U19" s="6"/>
      <c r="V19" s="794"/>
      <c r="W19" s="795"/>
      <c r="X19" s="177"/>
      <c r="Y19" s="22"/>
    </row>
    <row r="20" spans="2:25" x14ac:dyDescent="0.25">
      <c r="B20" s="21"/>
      <c r="C20" s="176"/>
      <c r="D20" s="70"/>
      <c r="E20" s="51" t="s">
        <v>2386</v>
      </c>
      <c r="F20" s="51"/>
      <c r="G20" s="51"/>
      <c r="H20" s="51"/>
      <c r="I20" s="51"/>
      <c r="J20" s="51"/>
      <c r="K20" s="51"/>
      <c r="L20" s="51"/>
      <c r="M20" s="51"/>
      <c r="N20" s="51"/>
      <c r="O20" s="47"/>
      <c r="P20" s="794"/>
      <c r="Q20" s="795"/>
      <c r="R20" s="6"/>
      <c r="S20" s="794"/>
      <c r="T20" s="795"/>
      <c r="U20" s="6"/>
      <c r="V20" s="794"/>
      <c r="W20" s="795"/>
      <c r="X20" s="177"/>
      <c r="Y20" s="22"/>
    </row>
    <row r="21" spans="2:25" x14ac:dyDescent="0.25">
      <c r="B21" s="21"/>
      <c r="C21" s="176"/>
      <c r="D21" s="70"/>
      <c r="E21" s="51" t="s">
        <v>2387</v>
      </c>
      <c r="F21" s="51"/>
      <c r="G21" s="51"/>
      <c r="H21" s="51"/>
      <c r="I21" s="51"/>
      <c r="J21" s="51"/>
      <c r="K21" s="51"/>
      <c r="L21" s="51"/>
      <c r="M21" s="51"/>
      <c r="N21" s="51"/>
      <c r="O21" s="47"/>
      <c r="P21" s="794"/>
      <c r="Q21" s="795"/>
      <c r="R21" s="6"/>
      <c r="S21" s="794"/>
      <c r="T21" s="795"/>
      <c r="U21" s="6"/>
      <c r="V21" s="794"/>
      <c r="W21" s="795"/>
      <c r="X21" s="177"/>
      <c r="Y21" s="22"/>
    </row>
    <row r="22" spans="2:25" x14ac:dyDescent="0.25">
      <c r="B22" s="21"/>
      <c r="C22" s="176"/>
      <c r="D22" s="70"/>
      <c r="E22" s="6"/>
      <c r="F22" s="6"/>
      <c r="G22" s="6"/>
      <c r="H22" s="6"/>
      <c r="I22" s="6"/>
      <c r="J22" s="6"/>
      <c r="K22" s="6"/>
      <c r="L22" s="6"/>
      <c r="M22" s="6"/>
      <c r="N22" s="6"/>
      <c r="O22" s="6"/>
      <c r="P22" s="6"/>
      <c r="Q22" s="6"/>
      <c r="R22" s="6"/>
      <c r="S22" s="6"/>
      <c r="T22" s="6"/>
      <c r="U22" s="6"/>
      <c r="V22" s="6"/>
      <c r="W22" s="6"/>
      <c r="X22" s="177"/>
      <c r="Y22" s="22"/>
    </row>
    <row r="23" spans="2:25" x14ac:dyDescent="0.25">
      <c r="B23" s="21"/>
      <c r="C23" s="176"/>
      <c r="D23" s="181" t="s">
        <v>452</v>
      </c>
      <c r="E23" s="44"/>
      <c r="F23" s="44"/>
      <c r="G23" s="44"/>
      <c r="H23" s="44"/>
      <c r="I23" s="44"/>
      <c r="J23" s="44"/>
      <c r="K23" s="44"/>
      <c r="L23" s="44"/>
      <c r="M23" s="44"/>
      <c r="N23" s="44"/>
      <c r="O23" s="49"/>
      <c r="P23" s="1020">
        <f>SUM(P12:Q14)-SUM(P18:Q21)</f>
        <v>0</v>
      </c>
      <c r="Q23" s="1021"/>
      <c r="R23" s="6"/>
      <c r="S23" s="1020">
        <f>SUM(S12:T14)-SUM(S18:T21)</f>
        <v>0</v>
      </c>
      <c r="T23" s="1021"/>
      <c r="U23" s="6"/>
      <c r="V23" s="1020">
        <f>SUM(V12:W14)-SUM(V18:W21)</f>
        <v>0</v>
      </c>
      <c r="W23" s="1021"/>
      <c r="X23" s="177"/>
      <c r="Y23" s="22"/>
    </row>
    <row r="24" spans="2:25" x14ac:dyDescent="0.25">
      <c r="B24" s="21"/>
      <c r="C24" s="176"/>
      <c r="D24" s="102"/>
      <c r="E24" s="6"/>
      <c r="F24" s="6"/>
      <c r="G24" s="6"/>
      <c r="H24" s="6"/>
      <c r="I24" s="6"/>
      <c r="J24" s="6"/>
      <c r="K24" s="6"/>
      <c r="L24" s="6"/>
      <c r="M24" s="6"/>
      <c r="N24" s="6"/>
      <c r="O24" s="6"/>
      <c r="P24" s="6"/>
      <c r="Q24" s="6"/>
      <c r="R24" s="6"/>
      <c r="S24" s="6"/>
      <c r="T24" s="6"/>
      <c r="U24" s="6"/>
      <c r="V24" s="6"/>
      <c r="W24" s="6"/>
      <c r="X24" s="177"/>
      <c r="Y24" s="22"/>
    </row>
    <row r="25" spans="2:25" x14ac:dyDescent="0.25">
      <c r="B25" s="21"/>
      <c r="C25" s="176"/>
      <c r="D25" s="181" t="s">
        <v>450</v>
      </c>
      <c r="E25" s="44"/>
      <c r="F25" s="44"/>
      <c r="G25" s="44"/>
      <c r="H25" s="44"/>
      <c r="I25" s="44"/>
      <c r="J25" s="44"/>
      <c r="K25" s="44"/>
      <c r="L25" s="44"/>
      <c r="M25" s="44"/>
      <c r="N25" s="44"/>
      <c r="O25" s="49"/>
      <c r="P25" s="1020">
        <f>P23+P15</f>
        <v>0</v>
      </c>
      <c r="Q25" s="1021"/>
      <c r="R25" s="6"/>
      <c r="S25" s="1020">
        <f>S23+S15</f>
        <v>0</v>
      </c>
      <c r="T25" s="1021"/>
      <c r="U25" s="6"/>
      <c r="V25" s="1020">
        <f>V23+V15</f>
        <v>0</v>
      </c>
      <c r="W25" s="1021"/>
      <c r="X25" s="177"/>
      <c r="Y25" s="22"/>
    </row>
    <row r="26" spans="2:25" x14ac:dyDescent="0.25">
      <c r="B26" s="21"/>
      <c r="C26" s="178"/>
      <c r="D26" s="150"/>
      <c r="E26" s="150"/>
      <c r="F26" s="150"/>
      <c r="G26" s="150"/>
      <c r="H26" s="150"/>
      <c r="I26" s="150"/>
      <c r="J26" s="150"/>
      <c r="K26" s="150"/>
      <c r="L26" s="150"/>
      <c r="M26" s="150"/>
      <c r="N26" s="150"/>
      <c r="O26" s="150"/>
      <c r="P26" s="150"/>
      <c r="Q26" s="150"/>
      <c r="R26" s="150"/>
      <c r="S26" s="150"/>
      <c r="T26" s="150"/>
      <c r="U26" s="150"/>
      <c r="V26" s="150"/>
      <c r="W26" s="150"/>
      <c r="X26" s="180"/>
      <c r="Y26" s="22"/>
    </row>
    <row r="27" spans="2:25" x14ac:dyDescent="0.25">
      <c r="B27" s="21"/>
      <c r="C27" s="6"/>
      <c r="D27" s="6"/>
      <c r="E27" s="6"/>
      <c r="F27" s="6"/>
      <c r="G27" s="6"/>
      <c r="H27" s="6"/>
      <c r="I27" s="6"/>
      <c r="J27" s="6"/>
      <c r="K27" s="6"/>
      <c r="L27" s="6"/>
      <c r="M27" s="6"/>
      <c r="N27" s="6"/>
      <c r="O27" s="6"/>
      <c r="P27" s="6"/>
      <c r="Q27" s="6"/>
      <c r="R27" s="6"/>
      <c r="S27" s="6"/>
      <c r="T27" s="6"/>
      <c r="U27" s="6"/>
      <c r="V27" s="6"/>
      <c r="W27" s="6"/>
      <c r="X27" s="6"/>
      <c r="Y27" s="22"/>
    </row>
    <row r="28" spans="2:25" x14ac:dyDescent="0.25">
      <c r="B28" s="21"/>
      <c r="C28" s="6"/>
      <c r="D28" s="6"/>
      <c r="E28" s="6"/>
      <c r="F28" s="6"/>
      <c r="G28" s="6"/>
      <c r="H28" s="6"/>
      <c r="I28" s="6"/>
      <c r="J28" s="6"/>
      <c r="K28" s="6"/>
      <c r="L28" s="6"/>
      <c r="M28" s="6"/>
      <c r="N28" s="6"/>
      <c r="O28" s="6"/>
      <c r="P28" s="6"/>
      <c r="Q28" s="6"/>
      <c r="R28" s="6"/>
      <c r="S28" s="6"/>
      <c r="T28" s="6"/>
      <c r="U28" s="6"/>
      <c r="V28" s="6"/>
      <c r="W28" s="6"/>
      <c r="X28" s="6"/>
      <c r="Y28" s="22"/>
    </row>
    <row r="29" spans="2:25" x14ac:dyDescent="0.25">
      <c r="B29" s="21"/>
      <c r="C29" s="175" t="s">
        <v>451</v>
      </c>
      <c r="D29" s="147"/>
      <c r="E29" s="147"/>
      <c r="F29" s="147"/>
      <c r="G29" s="147"/>
      <c r="H29" s="147"/>
      <c r="I29" s="147"/>
      <c r="J29" s="147"/>
      <c r="K29" s="147"/>
      <c r="L29" s="147"/>
      <c r="M29" s="147"/>
      <c r="N29" s="147"/>
      <c r="O29" s="147"/>
      <c r="P29" s="1030" t="s">
        <v>336</v>
      </c>
      <c r="Q29" s="1030"/>
      <c r="R29" s="1030"/>
      <c r="S29" s="1030"/>
      <c r="T29" s="1030"/>
      <c r="U29" s="1030"/>
      <c r="V29" s="1030"/>
      <c r="W29" s="1030"/>
      <c r="X29" s="179"/>
      <c r="Y29" s="22"/>
    </row>
    <row r="30" spans="2:25" x14ac:dyDescent="0.25">
      <c r="B30" s="21"/>
      <c r="C30" s="176"/>
      <c r="D30" s="102" t="s">
        <v>448</v>
      </c>
      <c r="E30" s="6"/>
      <c r="F30" s="6"/>
      <c r="G30" s="6"/>
      <c r="H30" s="6"/>
      <c r="I30" s="6"/>
      <c r="J30" s="6"/>
      <c r="K30" s="6"/>
      <c r="L30" s="6"/>
      <c r="M30" s="6"/>
      <c r="N30" s="6"/>
      <c r="O30" s="6"/>
      <c r="P30" s="999" t="str">
        <f>TEXT(cCampagneN,"0000-00")</f>
        <v>N</v>
      </c>
      <c r="Q30" s="999"/>
      <c r="R30" s="6"/>
      <c r="S30" s="999" t="str">
        <f>cCampagneN1</f>
        <v>N-1</v>
      </c>
      <c r="T30" s="999"/>
      <c r="U30" s="6"/>
      <c r="V30" s="999" t="str">
        <f>CCampagneN2</f>
        <v>N-2</v>
      </c>
      <c r="W30" s="999"/>
      <c r="X30" s="177"/>
      <c r="Y30" s="22"/>
    </row>
    <row r="31" spans="2:25" x14ac:dyDescent="0.25">
      <c r="B31" s="21"/>
      <c r="C31" s="176"/>
      <c r="D31" s="70"/>
      <c r="E31" s="51" t="s">
        <v>2388</v>
      </c>
      <c r="F31" s="51"/>
      <c r="G31" s="51"/>
      <c r="H31" s="51"/>
      <c r="I31" s="51"/>
      <c r="J31" s="51"/>
      <c r="K31" s="51"/>
      <c r="L31" s="51"/>
      <c r="M31" s="51"/>
      <c r="N31" s="51"/>
      <c r="O31" s="47"/>
      <c r="P31" s="794"/>
      <c r="Q31" s="795"/>
      <c r="R31" s="6"/>
      <c r="S31" s="794"/>
      <c r="T31" s="795"/>
      <c r="U31" s="6"/>
      <c r="V31" s="794"/>
      <c r="W31" s="795"/>
      <c r="X31" s="177"/>
      <c r="Y31" s="22"/>
    </row>
    <row r="32" spans="2:25" x14ac:dyDescent="0.25">
      <c r="B32" s="21"/>
      <c r="C32" s="176"/>
      <c r="D32" s="70"/>
      <c r="E32" s="51" t="s">
        <v>2389</v>
      </c>
      <c r="F32" s="51"/>
      <c r="G32" s="51"/>
      <c r="H32" s="51"/>
      <c r="I32" s="51"/>
      <c r="J32" s="51"/>
      <c r="K32" s="51"/>
      <c r="L32" s="51"/>
      <c r="M32" s="51"/>
      <c r="N32" s="51"/>
      <c r="O32" s="47"/>
      <c r="P32" s="794"/>
      <c r="Q32" s="795"/>
      <c r="R32" s="6"/>
      <c r="S32" s="794"/>
      <c r="T32" s="795"/>
      <c r="U32" s="6"/>
      <c r="V32" s="794"/>
      <c r="W32" s="795"/>
      <c r="X32" s="177"/>
      <c r="Y32" s="22"/>
    </row>
    <row r="33" spans="2:32" x14ac:dyDescent="0.25">
      <c r="B33" s="21"/>
      <c r="C33" s="176"/>
      <c r="D33" s="70"/>
      <c r="E33" s="51" t="s">
        <v>2390</v>
      </c>
      <c r="F33" s="51"/>
      <c r="G33" s="51"/>
      <c r="H33" s="51"/>
      <c r="I33" s="51"/>
      <c r="J33" s="51"/>
      <c r="K33" s="51"/>
      <c r="L33" s="51"/>
      <c r="M33" s="51"/>
      <c r="N33" s="51"/>
      <c r="O33" s="47"/>
      <c r="P33" s="794"/>
      <c r="Q33" s="795"/>
      <c r="R33" s="6"/>
      <c r="S33" s="794"/>
      <c r="T33" s="795"/>
      <c r="U33" s="6"/>
      <c r="V33" s="794"/>
      <c r="W33" s="795"/>
      <c r="X33" s="177"/>
      <c r="Y33" s="22"/>
    </row>
    <row r="34" spans="2:32" x14ac:dyDescent="0.25">
      <c r="B34" s="21"/>
      <c r="C34" s="176"/>
      <c r="D34" s="70"/>
      <c r="E34" s="51" t="s">
        <v>2391</v>
      </c>
      <c r="F34" s="51"/>
      <c r="G34" s="51"/>
      <c r="H34" s="51"/>
      <c r="I34" s="51"/>
      <c r="J34" s="51"/>
      <c r="K34" s="51"/>
      <c r="L34" s="51"/>
      <c r="M34" s="51"/>
      <c r="N34" s="51"/>
      <c r="O34" s="47"/>
      <c r="P34" s="794"/>
      <c r="Q34" s="795"/>
      <c r="R34" s="6"/>
      <c r="S34" s="794"/>
      <c r="T34" s="795"/>
      <c r="U34" s="6"/>
      <c r="V34" s="794"/>
      <c r="W34" s="795"/>
      <c r="X34" s="177"/>
      <c r="Y34" s="22"/>
    </row>
    <row r="35" spans="2:32" x14ac:dyDescent="0.25">
      <c r="B35" s="21"/>
      <c r="C35" s="176"/>
      <c r="D35" s="70"/>
      <c r="E35" s="52" t="s">
        <v>2392</v>
      </c>
      <c r="F35" s="52"/>
      <c r="G35" s="52"/>
      <c r="H35" s="52"/>
      <c r="I35" s="52"/>
      <c r="J35" s="52"/>
      <c r="K35" s="52"/>
      <c r="L35" s="52"/>
      <c r="M35" s="52"/>
      <c r="N35" s="52"/>
      <c r="O35" s="48"/>
      <c r="P35" s="794"/>
      <c r="Q35" s="795"/>
      <c r="R35" s="6"/>
      <c r="S35" s="794"/>
      <c r="T35" s="795"/>
      <c r="U35" s="6"/>
      <c r="V35" s="794"/>
      <c r="W35" s="795"/>
      <c r="X35" s="177"/>
      <c r="Y35" s="22"/>
    </row>
    <row r="36" spans="2:32" x14ac:dyDescent="0.25">
      <c r="B36" s="21"/>
      <c r="C36" s="176"/>
      <c r="E36" s="52" t="s">
        <v>2393</v>
      </c>
      <c r="F36" s="52"/>
      <c r="G36" s="52"/>
      <c r="H36" s="52"/>
      <c r="I36" s="52"/>
      <c r="J36" s="52"/>
      <c r="K36" s="52"/>
      <c r="L36" s="52"/>
      <c r="M36" s="52"/>
      <c r="N36" s="52"/>
      <c r="O36" s="48"/>
      <c r="P36" s="794"/>
      <c r="Q36" s="795"/>
      <c r="R36" s="6"/>
      <c r="S36" s="794"/>
      <c r="T36" s="795"/>
      <c r="U36" s="6"/>
      <c r="V36" s="794"/>
      <c r="W36" s="795"/>
      <c r="X36" s="177"/>
      <c r="Y36" s="22"/>
    </row>
    <row r="37" spans="2:32" x14ac:dyDescent="0.25">
      <c r="B37" s="21"/>
      <c r="C37" s="176"/>
      <c r="D37" s="70"/>
      <c r="E37" s="6"/>
      <c r="F37" s="6"/>
      <c r="G37" s="6"/>
      <c r="H37" s="6"/>
      <c r="I37" s="6"/>
      <c r="J37" s="6"/>
      <c r="K37" s="6"/>
      <c r="L37" s="6"/>
      <c r="M37" s="6"/>
      <c r="N37" s="6"/>
      <c r="O37" s="6"/>
      <c r="P37" s="6"/>
      <c r="Q37" s="6"/>
      <c r="R37" s="6"/>
      <c r="S37" s="6"/>
      <c r="T37" s="6"/>
      <c r="U37" s="6"/>
      <c r="V37" s="6"/>
      <c r="W37" s="6"/>
      <c r="X37" s="177"/>
      <c r="Y37" s="22"/>
    </row>
    <row r="38" spans="2:32" x14ac:dyDescent="0.25">
      <c r="B38" s="21"/>
      <c r="C38" s="176"/>
      <c r="D38" s="102" t="s">
        <v>449</v>
      </c>
      <c r="E38" s="6"/>
      <c r="F38" s="6"/>
      <c r="G38" s="6"/>
      <c r="H38" s="6"/>
      <c r="I38" s="6"/>
      <c r="J38" s="6"/>
      <c r="K38" s="6"/>
      <c r="L38" s="6"/>
      <c r="M38" s="6"/>
      <c r="N38" s="6"/>
      <c r="O38" s="6"/>
      <c r="P38" s="6"/>
      <c r="Q38" s="6"/>
      <c r="R38" s="6"/>
      <c r="S38" s="6"/>
      <c r="T38" s="6"/>
      <c r="U38" s="6"/>
      <c r="V38" s="6"/>
      <c r="W38" s="6"/>
      <c r="X38" s="177"/>
      <c r="Y38" s="22"/>
    </row>
    <row r="39" spans="2:32" x14ac:dyDescent="0.25">
      <c r="B39" s="21"/>
      <c r="C39" s="176"/>
      <c r="D39" s="102"/>
      <c r="E39" s="51" t="s">
        <v>2395</v>
      </c>
      <c r="F39" s="51"/>
      <c r="G39" s="51"/>
      <c r="H39" s="51"/>
      <c r="I39" s="51"/>
      <c r="J39" s="51"/>
      <c r="K39" s="51"/>
      <c r="L39" s="51"/>
      <c r="M39" s="51"/>
      <c r="N39" s="51"/>
      <c r="O39" s="47"/>
      <c r="P39" s="794"/>
      <c r="Q39" s="795"/>
      <c r="R39" s="6"/>
      <c r="S39" s="794"/>
      <c r="T39" s="795"/>
      <c r="U39" s="6"/>
      <c r="V39" s="794"/>
      <c r="W39" s="795"/>
      <c r="X39" s="177"/>
      <c r="Y39" s="22"/>
    </row>
    <row r="40" spans="2:32" x14ac:dyDescent="0.25">
      <c r="B40" s="21"/>
      <c r="C40" s="176"/>
      <c r="D40" s="102"/>
      <c r="E40" s="52" t="s">
        <v>2394</v>
      </c>
      <c r="F40" s="52"/>
      <c r="G40" s="52"/>
      <c r="H40" s="52"/>
      <c r="I40" s="52"/>
      <c r="J40" s="52"/>
      <c r="K40" s="52"/>
      <c r="L40" s="52"/>
      <c r="M40" s="52"/>
      <c r="N40" s="52"/>
      <c r="O40" s="48"/>
      <c r="P40" s="794"/>
      <c r="Q40" s="795"/>
      <c r="R40" s="6"/>
      <c r="S40" s="794"/>
      <c r="T40" s="795"/>
      <c r="U40" s="6"/>
      <c r="V40" s="794"/>
      <c r="W40" s="795"/>
      <c r="X40" s="177"/>
      <c r="Y40" s="22"/>
    </row>
    <row r="41" spans="2:32" x14ac:dyDescent="0.25">
      <c r="B41" s="21"/>
      <c r="C41" s="176"/>
      <c r="D41" s="102"/>
      <c r="E41" s="52" t="s">
        <v>2396</v>
      </c>
      <c r="F41" s="52"/>
      <c r="G41" s="52"/>
      <c r="H41" s="52"/>
      <c r="I41" s="52"/>
      <c r="J41" s="52"/>
      <c r="K41" s="52"/>
      <c r="L41" s="52"/>
      <c r="M41" s="52"/>
      <c r="N41" s="52"/>
      <c r="O41" s="48"/>
      <c r="P41" s="794"/>
      <c r="Q41" s="795"/>
      <c r="R41" s="6"/>
      <c r="S41" s="794"/>
      <c r="T41" s="795"/>
      <c r="U41" s="6"/>
      <c r="V41" s="794"/>
      <c r="W41" s="795"/>
      <c r="X41" s="177"/>
      <c r="Y41" s="22"/>
    </row>
    <row r="42" spans="2:32" x14ac:dyDescent="0.25">
      <c r="B42" s="21"/>
      <c r="C42" s="176"/>
      <c r="D42" s="70"/>
      <c r="E42" s="52" t="s">
        <v>2397</v>
      </c>
      <c r="F42" s="52"/>
      <c r="G42" s="52"/>
      <c r="H42" s="52"/>
      <c r="I42" s="52"/>
      <c r="J42" s="52"/>
      <c r="K42" s="52"/>
      <c r="L42" s="52"/>
      <c r="M42" s="52"/>
      <c r="N42" s="52"/>
      <c r="O42" s="48"/>
      <c r="P42" s="794"/>
      <c r="Q42" s="795"/>
      <c r="R42" s="6"/>
      <c r="S42" s="794"/>
      <c r="T42" s="795"/>
      <c r="U42" s="6"/>
      <c r="V42" s="794"/>
      <c r="W42" s="795"/>
      <c r="X42" s="177"/>
      <c r="Y42" s="22"/>
    </row>
    <row r="43" spans="2:32" x14ac:dyDescent="0.25">
      <c r="B43" s="21"/>
      <c r="C43" s="176"/>
      <c r="D43" s="70"/>
      <c r="E43" s="6"/>
      <c r="F43" s="6"/>
      <c r="G43" s="6"/>
      <c r="H43" s="6"/>
      <c r="I43" s="6"/>
      <c r="J43" s="6"/>
      <c r="K43" s="6"/>
      <c r="L43" s="6"/>
      <c r="M43" s="6"/>
      <c r="N43" s="6"/>
      <c r="O43" s="6"/>
      <c r="P43" s="6"/>
      <c r="Q43" s="6"/>
      <c r="R43" s="6"/>
      <c r="S43" s="6"/>
      <c r="T43" s="6"/>
      <c r="U43" s="6"/>
      <c r="V43" s="6"/>
      <c r="W43" s="6"/>
      <c r="X43" s="177"/>
      <c r="Y43" s="22"/>
    </row>
    <row r="44" spans="2:32" x14ac:dyDescent="0.25">
      <c r="B44" s="21"/>
      <c r="C44" s="176"/>
      <c r="D44" s="181" t="s">
        <v>452</v>
      </c>
      <c r="E44" s="44"/>
      <c r="F44" s="44"/>
      <c r="G44" s="44"/>
      <c r="H44" s="44"/>
      <c r="I44" s="44"/>
      <c r="J44" s="44"/>
      <c r="K44" s="44"/>
      <c r="L44" s="44"/>
      <c r="M44" s="44"/>
      <c r="N44" s="44"/>
      <c r="O44" s="49"/>
      <c r="P44" s="1020">
        <f>SUM(P31:Q35)-SUM(P39:Q42)</f>
        <v>0</v>
      </c>
      <c r="Q44" s="1021"/>
      <c r="R44" s="6"/>
      <c r="S44" s="1020">
        <f>SUM(S31:T35)-SUM(S39:T42)</f>
        <v>0</v>
      </c>
      <c r="T44" s="1021"/>
      <c r="U44" s="6"/>
      <c r="V44" s="1020">
        <f>SUM(V31:W35)-SUM(V39:W42)</f>
        <v>0</v>
      </c>
      <c r="W44" s="1021"/>
      <c r="X44" s="177"/>
      <c r="Y44" s="22"/>
    </row>
    <row r="45" spans="2:32" x14ac:dyDescent="0.25">
      <c r="B45" s="21"/>
      <c r="C45" s="176"/>
      <c r="D45" s="102"/>
      <c r="E45" s="6"/>
      <c r="F45" s="6"/>
      <c r="G45" s="6"/>
      <c r="H45" s="6"/>
      <c r="I45" s="6"/>
      <c r="J45" s="6"/>
      <c r="K45" s="6"/>
      <c r="L45" s="6"/>
      <c r="M45" s="6"/>
      <c r="N45" s="6"/>
      <c r="O45" s="6"/>
      <c r="P45" s="6"/>
      <c r="Q45" s="6"/>
      <c r="R45" s="6"/>
      <c r="S45" s="6"/>
      <c r="T45" s="6"/>
      <c r="U45" s="6"/>
      <c r="V45" s="6"/>
      <c r="W45" s="6"/>
      <c r="X45" s="177"/>
      <c r="Y45" s="22"/>
    </row>
    <row r="46" spans="2:32" x14ac:dyDescent="0.25">
      <c r="B46" s="21"/>
      <c r="C46" s="176"/>
      <c r="D46" s="181" t="s">
        <v>450</v>
      </c>
      <c r="E46" s="44"/>
      <c r="F46" s="44"/>
      <c r="G46" s="44"/>
      <c r="H46" s="44"/>
      <c r="I46" s="44"/>
      <c r="J46" s="44"/>
      <c r="K46" s="44"/>
      <c r="L46" s="44"/>
      <c r="M46" s="44"/>
      <c r="N46" s="44"/>
      <c r="O46" s="49"/>
      <c r="P46" s="1020">
        <f>P44+P36</f>
        <v>0</v>
      </c>
      <c r="Q46" s="1021"/>
      <c r="R46" s="6"/>
      <c r="S46" s="1020">
        <f>S44+S36</f>
        <v>0</v>
      </c>
      <c r="T46" s="1021"/>
      <c r="U46" s="6"/>
      <c r="V46" s="1020">
        <f>V44+V36</f>
        <v>0</v>
      </c>
      <c r="W46" s="1021"/>
      <c r="X46" s="177"/>
      <c r="Y46" s="22"/>
      <c r="AC46" t="s">
        <v>2399</v>
      </c>
      <c r="AF46">
        <f>IF(M54=1,P25,IF(M54=2,SUM(P25:T25)/2,SUM(P25:W25)/3))</f>
        <v>0</v>
      </c>
    </row>
    <row r="47" spans="2:32" x14ac:dyDescent="0.25">
      <c r="B47" s="21"/>
      <c r="C47" s="178"/>
      <c r="D47" s="150"/>
      <c r="E47" s="150"/>
      <c r="F47" s="150"/>
      <c r="G47" s="150"/>
      <c r="H47" s="150"/>
      <c r="I47" s="150"/>
      <c r="J47" s="150"/>
      <c r="K47" s="150"/>
      <c r="L47" s="150"/>
      <c r="M47" s="150"/>
      <c r="N47" s="150"/>
      <c r="O47" s="150"/>
      <c r="P47" s="150"/>
      <c r="Q47" s="150"/>
      <c r="R47" s="150"/>
      <c r="S47" s="150"/>
      <c r="T47" s="150"/>
      <c r="U47" s="150"/>
      <c r="V47" s="150"/>
      <c r="W47" s="150"/>
      <c r="X47" s="180"/>
      <c r="Y47" s="22"/>
      <c r="AC47" t="s">
        <v>2398</v>
      </c>
      <c r="AF47">
        <f>IF(M54=1,P46,IF(M54=2,SUM(P46:T46)/2,SUM(P46:W46)/3))</f>
        <v>0</v>
      </c>
    </row>
    <row r="48" spans="2:32" x14ac:dyDescent="0.25">
      <c r="B48" s="21"/>
      <c r="C48" s="6"/>
      <c r="D48" s="6"/>
      <c r="E48" s="6"/>
      <c r="F48" s="6"/>
      <c r="G48" s="6"/>
      <c r="H48" s="6"/>
      <c r="I48" s="6"/>
      <c r="J48" s="6"/>
      <c r="K48" s="6"/>
      <c r="L48" s="6"/>
      <c r="M48" s="6"/>
      <c r="N48" s="6"/>
      <c r="O48" s="6"/>
      <c r="P48" s="6"/>
      <c r="Q48" s="6"/>
      <c r="R48" s="6"/>
      <c r="S48" s="6"/>
      <c r="T48" s="6"/>
      <c r="U48" s="6"/>
      <c r="V48" s="6"/>
      <c r="W48" s="6"/>
      <c r="X48" s="6"/>
      <c r="Y48" s="22"/>
    </row>
    <row r="49" spans="2:38" x14ac:dyDescent="0.25">
      <c r="B49" s="21"/>
      <c r="C49" s="6"/>
      <c r="D49" s="188" t="s">
        <v>2536</v>
      </c>
      <c r="E49" s="6"/>
      <c r="F49" s="6"/>
      <c r="G49" s="6"/>
      <c r="H49" s="6"/>
      <c r="I49" s="6"/>
      <c r="J49" s="6"/>
      <c r="K49" s="6"/>
      <c r="L49" s="6"/>
      <c r="M49" s="6"/>
      <c r="N49" s="6"/>
      <c r="O49" s="6"/>
      <c r="P49" s="173" t="str">
        <f>IF(M54&lt;&gt;"","Bien saisir les données du bilan sur " &amp; M54 &amp; " campagne(s).","")</f>
        <v/>
      </c>
      <c r="Q49" s="6"/>
      <c r="R49" s="6"/>
      <c r="S49" s="6"/>
      <c r="T49" s="6"/>
      <c r="U49" s="6"/>
      <c r="V49" s="6"/>
      <c r="W49" s="6"/>
      <c r="X49" s="6"/>
      <c r="Y49" s="22"/>
    </row>
    <row r="50" spans="2:38" x14ac:dyDescent="0.25">
      <c r="B50" s="21"/>
      <c r="C50" s="6"/>
      <c r="D50" s="6"/>
      <c r="E50" s="6"/>
      <c r="F50" s="6"/>
      <c r="G50" s="6"/>
      <c r="H50" s="6"/>
      <c r="I50" s="6"/>
      <c r="J50" s="6"/>
      <c r="K50" s="6"/>
      <c r="L50" s="6"/>
      <c r="M50" s="6"/>
      <c r="N50" s="6"/>
      <c r="O50" s="6"/>
      <c r="P50" s="6"/>
      <c r="Q50" s="6"/>
      <c r="R50" s="6"/>
      <c r="S50" s="6"/>
      <c r="T50" s="6"/>
      <c r="U50" s="6"/>
      <c r="V50" s="6"/>
      <c r="W50" s="6"/>
      <c r="X50" s="6"/>
      <c r="Y50" s="22"/>
    </row>
    <row r="51" spans="2:38" x14ac:dyDescent="0.25">
      <c r="B51" s="21"/>
      <c r="C51" s="6"/>
      <c r="D51" s="51" t="s">
        <v>453</v>
      </c>
      <c r="E51" s="51"/>
      <c r="F51" s="51"/>
      <c r="G51" s="51"/>
      <c r="H51" s="51"/>
      <c r="I51" s="51"/>
      <c r="J51" s="51"/>
      <c r="K51" s="51"/>
      <c r="L51" s="47"/>
      <c r="M51" s="1025" t="str">
        <f>IF(Identification!F69="","",IFERROR(IF(MATCH(Identification!F69,Listes!Q:Q,0)&gt;0,"Oui","Non"),"Non"))</f>
        <v/>
      </c>
      <c r="N51" s="1026"/>
      <c r="O51" s="6"/>
      <c r="P51" s="173" t="str">
        <f>IF(M51="","Saisir l'OTEX dans l'onglet Identification","")</f>
        <v>Saisir l'OTEX dans l'onglet Identification</v>
      </c>
      <c r="Q51" s="6"/>
      <c r="R51" s="6"/>
      <c r="S51" s="6"/>
      <c r="T51" s="6"/>
      <c r="U51" s="6"/>
      <c r="V51" s="6"/>
      <c r="W51" s="6"/>
      <c r="X51" s="6"/>
      <c r="Y51" s="22"/>
    </row>
    <row r="52" spans="2:38" x14ac:dyDescent="0.25">
      <c r="B52" s="21"/>
      <c r="C52" s="6"/>
      <c r="D52" s="52" t="s">
        <v>454</v>
      </c>
      <c r="E52" s="52"/>
      <c r="F52" s="52"/>
      <c r="G52" s="52"/>
      <c r="H52" s="52"/>
      <c r="I52" s="52"/>
      <c r="J52" s="52"/>
      <c r="K52" s="52"/>
      <c r="L52" s="48"/>
      <c r="M52" s="794"/>
      <c r="N52" s="959"/>
      <c r="O52" s="959"/>
      <c r="P52" s="959"/>
      <c r="Q52" s="795"/>
      <c r="R52" s="6"/>
      <c r="S52" s="6"/>
      <c r="T52" s="6"/>
      <c r="U52" s="6"/>
      <c r="V52" s="6"/>
      <c r="W52" s="6"/>
      <c r="X52" s="6"/>
      <c r="Y52" s="22"/>
    </row>
    <row r="53" spans="2:38" x14ac:dyDescent="0.25">
      <c r="B53" s="21"/>
      <c r="C53" s="46"/>
      <c r="D53" s="42"/>
      <c r="E53" s="6"/>
      <c r="F53" s="6"/>
      <c r="G53" s="6"/>
      <c r="H53" s="6"/>
      <c r="I53" s="6"/>
      <c r="J53" s="6"/>
      <c r="K53" s="6"/>
      <c r="L53" s="6"/>
      <c r="M53" s="6"/>
      <c r="N53" s="6"/>
      <c r="O53" s="6"/>
      <c r="P53" s="6"/>
      <c r="Q53" s="6"/>
      <c r="R53" s="6"/>
      <c r="S53" s="6"/>
      <c r="T53" s="6"/>
      <c r="U53" s="6"/>
      <c r="V53" s="6"/>
      <c r="W53" s="6"/>
      <c r="X53" s="6"/>
      <c r="Y53" s="22"/>
    </row>
    <row r="54" spans="2:38" x14ac:dyDescent="0.25">
      <c r="B54" s="21"/>
      <c r="C54" s="6"/>
      <c r="D54" s="86" t="s">
        <v>2624</v>
      </c>
      <c r="E54" s="86"/>
      <c r="F54" s="44"/>
      <c r="G54" s="44"/>
      <c r="H54" s="44"/>
      <c r="I54" s="44"/>
      <c r="J54" s="44"/>
      <c r="K54" s="44"/>
      <c r="L54" s="49"/>
      <c r="M54" s="794"/>
      <c r="N54" s="795"/>
      <c r="O54" s="6"/>
      <c r="P54" s="741" t="s">
        <v>245</v>
      </c>
      <c r="Q54" s="741"/>
      <c r="R54" s="6"/>
      <c r="S54" s="6"/>
      <c r="T54" s="6"/>
      <c r="U54" s="6"/>
      <c r="V54" s="6"/>
      <c r="W54" s="6"/>
      <c r="X54" s="6"/>
      <c r="Y54" s="22"/>
      <c r="AI54" s="387"/>
      <c r="AJ54" s="387"/>
      <c r="AK54" s="387" t="s">
        <v>2441</v>
      </c>
      <c r="AL54" s="387" t="s">
        <v>2442</v>
      </c>
    </row>
    <row r="55" spans="2:38" x14ac:dyDescent="0.25">
      <c r="B55" s="21"/>
      <c r="C55" s="6"/>
      <c r="D55" s="86" t="str">
        <f>"Solde du bilan en moyenne sur " &amp; M54 &amp; " campagne(s)"</f>
        <v>Solde du bilan en moyenne sur  campagne(s)</v>
      </c>
      <c r="E55" s="86"/>
      <c r="F55" s="44"/>
      <c r="G55" s="44"/>
      <c r="H55" s="44"/>
      <c r="I55" s="44"/>
      <c r="J55" s="44"/>
      <c r="K55" s="44"/>
      <c r="L55" s="49"/>
      <c r="M55" s="878" t="str">
        <f>IF(M54="","",IF(AND(M52="Bilan apparent",M51="Oui"),AF47,IF(AND(M51="Non",M52="Bilan apparent"),AF47,AF46)))</f>
        <v/>
      </c>
      <c r="N55" s="879"/>
      <c r="O55" s="6"/>
      <c r="P55" s="1007">
        <f>IF(OR(M54="",M52=""),0,IF(AND(M51="Oui",M52="Bilan apparent"),AF55,AD55))</f>
        <v>0</v>
      </c>
      <c r="Q55" s="1008"/>
      <c r="R55" s="6"/>
      <c r="S55" s="6"/>
      <c r="T55" s="6"/>
      <c r="U55" s="6"/>
      <c r="V55" s="6"/>
      <c r="W55" s="6"/>
      <c r="X55" s="6"/>
      <c r="Y55" s="22"/>
      <c r="AC55" t="s">
        <v>2438</v>
      </c>
      <c r="AD55">
        <f>IF(M55&gt;50,0,IF(AND(M55&lt;=50,M55&gt;40),2,IF(AND(M55&lt;=40,M55&gt;30),5,IF(AND(M55&lt;=30,M55&gt;20),7,IF(M55&lt;=20,8,0)))))</f>
        <v>0</v>
      </c>
      <c r="AE55" t="s">
        <v>2439</v>
      </c>
      <c r="AF55">
        <f>IF(M55&gt;90,0,IF(AND(M55&lt;=90,M55&gt;70),2,IF(AND(M55&lt;=70,M55&gt;50),4,IF(AND(M55&lt;=50,M55&gt;30),6,IF(M55&lt;=30,8,0)))))</f>
        <v>0</v>
      </c>
      <c r="AI55" s="387" t="s">
        <v>2440</v>
      </c>
      <c r="AJ55" s="387" t="s">
        <v>315</v>
      </c>
      <c r="AK55" s="387" t="str">
        <f>AC55</f>
        <v>calcul général</v>
      </c>
      <c r="AL55" s="387" t="str">
        <f>AC55</f>
        <v>calcul général</v>
      </c>
    </row>
    <row r="56" spans="2:38" x14ac:dyDescent="0.25">
      <c r="B56" s="21"/>
      <c r="C56" s="6"/>
      <c r="K56" s="6"/>
      <c r="L56" s="6"/>
      <c r="M56" s="6"/>
      <c r="N56" s="6"/>
      <c r="O56" s="6"/>
      <c r="P56" s="6"/>
      <c r="Q56" s="6"/>
      <c r="R56" s="6"/>
      <c r="S56" s="6"/>
      <c r="T56" s="6"/>
      <c r="U56" s="6"/>
      <c r="V56" s="6"/>
      <c r="W56" s="6"/>
      <c r="X56" s="6"/>
      <c r="Y56" s="22"/>
      <c r="AI56" s="387"/>
      <c r="AJ56" s="387" t="s">
        <v>69</v>
      </c>
      <c r="AK56" s="387" t="str">
        <f>AC55</f>
        <v>calcul général</v>
      </c>
      <c r="AL56" s="387" t="str">
        <f>AE55</f>
        <v>calcul spé</v>
      </c>
    </row>
    <row r="57" spans="2:38" x14ac:dyDescent="0.25">
      <c r="B57" s="21"/>
      <c r="C57" s="6"/>
      <c r="D57" s="86" t="s">
        <v>2400</v>
      </c>
      <c r="E57" s="86"/>
      <c r="F57" s="86"/>
      <c r="G57" s="86"/>
      <c r="H57" s="86"/>
      <c r="I57" s="86"/>
      <c r="J57" s="86"/>
      <c r="K57" s="86"/>
      <c r="L57" s="119"/>
      <c r="M57" s="794"/>
      <c r="N57" s="795"/>
      <c r="O57" s="6"/>
      <c r="P57" s="6"/>
      <c r="Q57" s="6"/>
      <c r="R57" s="6"/>
      <c r="S57" s="6"/>
      <c r="T57" s="6"/>
      <c r="U57" s="6"/>
      <c r="V57" s="6"/>
      <c r="W57" s="6"/>
      <c r="X57" s="6"/>
      <c r="Y57" s="22"/>
    </row>
    <row r="58" spans="2:38" x14ac:dyDescent="0.25">
      <c r="B58" s="21"/>
      <c r="C58" s="6"/>
      <c r="D58" s="86" t="s">
        <v>2888</v>
      </c>
      <c r="E58" s="86"/>
      <c r="F58" s="86"/>
      <c r="G58" s="86"/>
      <c r="H58" s="86"/>
      <c r="I58" s="86"/>
      <c r="J58" s="86"/>
      <c r="K58" s="86"/>
      <c r="L58" s="119"/>
      <c r="M58" s="882"/>
      <c r="N58" s="883"/>
      <c r="O58" s="6"/>
      <c r="P58" s="173" t="str">
        <f>IF(M58&gt;M59,"Attention : surface en cultures mineures saisies &gt; SAU","")</f>
        <v/>
      </c>
      <c r="Q58" s="6"/>
      <c r="R58" s="6"/>
      <c r="S58" s="6"/>
      <c r="T58" s="6"/>
      <c r="U58" s="6"/>
      <c r="V58" s="6"/>
      <c r="W58" s="6"/>
      <c r="X58" s="6"/>
      <c r="Y58" s="22"/>
    </row>
    <row r="59" spans="2:38" x14ac:dyDescent="0.25">
      <c r="B59" s="21"/>
      <c r="C59" s="6"/>
      <c r="D59" s="87" t="s">
        <v>455</v>
      </c>
      <c r="E59" s="87"/>
      <c r="F59" s="87"/>
      <c r="G59" s="87"/>
      <c r="H59" s="87"/>
      <c r="I59" s="87"/>
      <c r="J59" s="87"/>
      <c r="K59" s="87"/>
      <c r="L59" s="120"/>
      <c r="M59" s="878">
        <f>Surfaces!O24</f>
        <v>10</v>
      </c>
      <c r="N59" s="888"/>
      <c r="O59" s="6"/>
      <c r="P59" s="6"/>
      <c r="Q59" s="6"/>
      <c r="R59" s="6"/>
      <c r="S59" s="6"/>
      <c r="T59" s="6"/>
      <c r="U59" s="6"/>
      <c r="V59" s="6"/>
      <c r="W59" s="6"/>
      <c r="X59" s="6"/>
      <c r="Y59" s="22"/>
    </row>
    <row r="60" spans="2:38" x14ac:dyDescent="0.25">
      <c r="B60" s="21"/>
      <c r="C60" s="6"/>
      <c r="D60" s="87" t="s">
        <v>456</v>
      </c>
      <c r="E60" s="87"/>
      <c r="F60" s="87"/>
      <c r="G60" s="87"/>
      <c r="H60" s="87"/>
      <c r="I60" s="87"/>
      <c r="J60" s="87"/>
      <c r="K60" s="87"/>
      <c r="L60" s="120"/>
      <c r="M60" s="874">
        <f>IFERROR(M58/M59,0)</f>
        <v>0</v>
      </c>
      <c r="N60" s="875"/>
      <c r="O60" s="6"/>
      <c r="P60" s="6"/>
      <c r="Q60" s="6"/>
      <c r="R60" s="6"/>
      <c r="S60" s="6"/>
      <c r="T60" s="6"/>
      <c r="U60" s="6"/>
      <c r="V60" s="6"/>
      <c r="W60" s="6"/>
      <c r="X60" s="6"/>
      <c r="Y60" s="22"/>
    </row>
    <row r="61" spans="2:38" x14ac:dyDescent="0.25">
      <c r="B61" s="21"/>
      <c r="C61" s="6"/>
      <c r="K61" s="6"/>
      <c r="L61" s="6"/>
      <c r="M61" s="6"/>
      <c r="N61" s="6"/>
      <c r="O61" s="6"/>
      <c r="P61" s="6"/>
      <c r="Q61" s="6"/>
      <c r="R61" s="6"/>
      <c r="S61" s="6"/>
      <c r="T61" s="6"/>
      <c r="U61" s="6"/>
      <c r="V61" s="6"/>
      <c r="W61" s="6"/>
      <c r="X61" s="6"/>
      <c r="Y61" s="22"/>
    </row>
    <row r="62" spans="2:38" x14ac:dyDescent="0.25">
      <c r="B62" s="21"/>
      <c r="C62" s="6"/>
      <c r="D62" s="86" t="s">
        <v>457</v>
      </c>
      <c r="E62" s="44"/>
      <c r="F62" s="44"/>
      <c r="G62" s="44"/>
      <c r="H62" s="44"/>
      <c r="I62" s="44"/>
      <c r="J62" s="44"/>
      <c r="K62" s="44"/>
      <c r="L62" s="49"/>
      <c r="M62" s="889" t="str">
        <f>IF(M57="Oui","Non",IF(M60&lt;=0.05,"Non","Oui"))</f>
        <v>Non</v>
      </c>
      <c r="N62" s="888"/>
      <c r="O62" s="173"/>
      <c r="P62" s="6"/>
      <c r="Q62" s="6"/>
      <c r="R62" s="6"/>
      <c r="S62" s="6"/>
      <c r="T62" s="6"/>
      <c r="U62" s="6"/>
      <c r="V62" s="6"/>
      <c r="W62" s="6"/>
      <c r="X62" s="6"/>
      <c r="Y62" s="22"/>
    </row>
    <row r="63" spans="2:38" x14ac:dyDescent="0.25">
      <c r="B63" s="21"/>
      <c r="C63" s="6"/>
      <c r="D63" s="182"/>
      <c r="K63" s="6"/>
      <c r="L63" s="6"/>
      <c r="M63" s="6"/>
      <c r="N63" s="6"/>
      <c r="O63" s="6"/>
      <c r="P63" s="6"/>
      <c r="Q63" s="6"/>
      <c r="R63" s="6"/>
      <c r="S63" s="6"/>
      <c r="T63" s="6"/>
      <c r="U63" s="6"/>
      <c r="V63" s="6"/>
      <c r="W63" s="770" t="s">
        <v>723</v>
      </c>
      <c r="X63" s="770"/>
      <c r="Y63" s="22"/>
    </row>
    <row r="64" spans="2:38" x14ac:dyDescent="0.25">
      <c r="B64" s="21"/>
      <c r="C64" s="6"/>
      <c r="D64" s="181" t="s">
        <v>458</v>
      </c>
      <c r="E64" s="44"/>
      <c r="F64" s="44"/>
      <c r="G64" s="44"/>
      <c r="H64" s="44"/>
      <c r="I64" s="44"/>
      <c r="J64" s="44"/>
      <c r="K64" s="44"/>
      <c r="L64" s="44"/>
      <c r="M64" s="44"/>
      <c r="N64" s="44"/>
      <c r="O64" s="544"/>
      <c r="P64" s="885">
        <f>MAX(IF(M62="Oui",P55*(100%-M60),P55),0)</f>
        <v>0</v>
      </c>
      <c r="Q64" s="886"/>
      <c r="R64" s="6"/>
      <c r="S64" s="6"/>
      <c r="T64" s="6"/>
      <c r="U64" s="6"/>
      <c r="V64" s="6"/>
      <c r="W64" s="771">
        <f>MAX(IF(M62="Oui",8*(100%-M60),8),0)</f>
        <v>8</v>
      </c>
      <c r="X64" s="772"/>
      <c r="Y64" s="22"/>
    </row>
    <row r="65" spans="2:25" x14ac:dyDescent="0.25">
      <c r="B65" s="21"/>
      <c r="C65" s="6"/>
      <c r="D65" s="102"/>
      <c r="E65" s="6"/>
      <c r="F65" s="6"/>
      <c r="G65" s="6"/>
      <c r="H65" s="6"/>
      <c r="I65" s="6"/>
      <c r="J65" s="6"/>
      <c r="K65" s="6"/>
      <c r="L65" s="6"/>
      <c r="M65" s="478"/>
      <c r="N65" s="478"/>
      <c r="O65" s="173"/>
      <c r="P65" s="6"/>
      <c r="Q65" s="6"/>
      <c r="R65" s="6"/>
      <c r="S65" s="6"/>
      <c r="T65" s="6"/>
      <c r="U65" s="6"/>
      <c r="V65" s="6"/>
      <c r="W65" s="479"/>
      <c r="X65" s="479"/>
      <c r="Y65" s="22"/>
    </row>
    <row r="66" spans="2:25" x14ac:dyDescent="0.25">
      <c r="B66" s="21"/>
      <c r="C66" s="6"/>
      <c r="D66" s="102"/>
      <c r="E66" s="6"/>
      <c r="F66" s="6"/>
      <c r="G66" s="6"/>
      <c r="H66" s="6"/>
      <c r="I66" s="6"/>
      <c r="J66" s="6"/>
      <c r="K66" s="6"/>
      <c r="L66" s="6"/>
      <c r="M66" s="478"/>
      <c r="N66" s="478"/>
      <c r="O66" s="173"/>
      <c r="P66" s="6"/>
      <c r="Q66" s="6"/>
      <c r="R66" s="6"/>
      <c r="S66" s="6"/>
      <c r="T66" s="6"/>
      <c r="U66" s="6"/>
      <c r="V66" s="6"/>
      <c r="W66" s="479"/>
      <c r="X66" s="479"/>
      <c r="Y66" s="22"/>
    </row>
    <row r="67" spans="2:25" x14ac:dyDescent="0.25">
      <c r="B67" s="21"/>
      <c r="C67" s="6"/>
      <c r="D67" s="102" t="s">
        <v>2532</v>
      </c>
      <c r="E67" s="6"/>
      <c r="F67" s="6"/>
      <c r="G67" s="6"/>
      <c r="H67" s="6"/>
      <c r="I67" s="6"/>
      <c r="J67" s="6"/>
      <c r="K67" s="6"/>
      <c r="L67" s="6"/>
      <c r="M67" s="6"/>
      <c r="N67" s="6"/>
      <c r="O67" s="6"/>
      <c r="P67" s="6"/>
      <c r="Q67" s="6"/>
      <c r="R67" s="6"/>
      <c r="S67" s="6"/>
      <c r="T67" s="6"/>
      <c r="U67" s="6"/>
      <c r="V67" s="6"/>
      <c r="W67" s="6"/>
      <c r="X67" s="6"/>
      <c r="Y67" s="22"/>
    </row>
    <row r="68" spans="2:25" x14ac:dyDescent="0.25">
      <c r="B68" s="21"/>
      <c r="C68" s="6"/>
      <c r="D68" s="757"/>
      <c r="E68" s="758"/>
      <c r="F68" s="758"/>
      <c r="G68" s="758"/>
      <c r="H68" s="758"/>
      <c r="I68" s="758"/>
      <c r="J68" s="758"/>
      <c r="K68" s="758"/>
      <c r="L68" s="758"/>
      <c r="M68" s="758"/>
      <c r="N68" s="758"/>
      <c r="O68" s="758"/>
      <c r="P68" s="758"/>
      <c r="Q68" s="758"/>
      <c r="R68" s="758"/>
      <c r="S68" s="758"/>
      <c r="T68" s="758"/>
      <c r="U68" s="758"/>
      <c r="V68" s="758"/>
      <c r="W68" s="758"/>
      <c r="X68" s="759"/>
      <c r="Y68" s="22"/>
    </row>
    <row r="69" spans="2:25" x14ac:dyDescent="0.25">
      <c r="B69" s="21"/>
      <c r="C69" s="6"/>
      <c r="D69" s="760"/>
      <c r="E69" s="761"/>
      <c r="F69" s="761"/>
      <c r="G69" s="761"/>
      <c r="H69" s="761"/>
      <c r="I69" s="761"/>
      <c r="J69" s="761"/>
      <c r="K69" s="761"/>
      <c r="L69" s="761"/>
      <c r="M69" s="761"/>
      <c r="N69" s="761"/>
      <c r="O69" s="761"/>
      <c r="P69" s="761"/>
      <c r="Q69" s="761"/>
      <c r="R69" s="761"/>
      <c r="S69" s="761"/>
      <c r="T69" s="761"/>
      <c r="U69" s="761"/>
      <c r="V69" s="761"/>
      <c r="W69" s="761"/>
      <c r="X69" s="762"/>
      <c r="Y69" s="22"/>
    </row>
    <row r="70" spans="2:25" x14ac:dyDescent="0.25">
      <c r="B70" s="21"/>
      <c r="C70" s="6"/>
      <c r="D70" s="760"/>
      <c r="E70" s="761"/>
      <c r="F70" s="761"/>
      <c r="G70" s="761"/>
      <c r="H70" s="761"/>
      <c r="I70" s="761"/>
      <c r="J70" s="761"/>
      <c r="K70" s="761"/>
      <c r="L70" s="761"/>
      <c r="M70" s="761"/>
      <c r="N70" s="761"/>
      <c r="O70" s="761"/>
      <c r="P70" s="761"/>
      <c r="Q70" s="761"/>
      <c r="R70" s="761"/>
      <c r="S70" s="761"/>
      <c r="T70" s="761"/>
      <c r="U70" s="761"/>
      <c r="V70" s="761"/>
      <c r="W70" s="761"/>
      <c r="X70" s="762"/>
      <c r="Y70" s="22"/>
    </row>
    <row r="71" spans="2:25" x14ac:dyDescent="0.25">
      <c r="B71" s="21"/>
      <c r="C71" s="6"/>
      <c r="D71" s="760"/>
      <c r="E71" s="761"/>
      <c r="F71" s="761"/>
      <c r="G71" s="761"/>
      <c r="H71" s="761"/>
      <c r="I71" s="761"/>
      <c r="J71" s="761"/>
      <c r="K71" s="761"/>
      <c r="L71" s="761"/>
      <c r="M71" s="761"/>
      <c r="N71" s="761"/>
      <c r="O71" s="761"/>
      <c r="P71" s="761"/>
      <c r="Q71" s="761"/>
      <c r="R71" s="761"/>
      <c r="S71" s="761"/>
      <c r="T71" s="761"/>
      <c r="U71" s="761"/>
      <c r="V71" s="761"/>
      <c r="W71" s="761"/>
      <c r="X71" s="762"/>
      <c r="Y71" s="22"/>
    </row>
    <row r="72" spans="2:25" x14ac:dyDescent="0.25">
      <c r="B72" s="21"/>
      <c r="C72" s="6"/>
      <c r="D72" s="760"/>
      <c r="E72" s="761"/>
      <c r="F72" s="761"/>
      <c r="G72" s="761"/>
      <c r="H72" s="761"/>
      <c r="I72" s="761"/>
      <c r="J72" s="761"/>
      <c r="K72" s="761"/>
      <c r="L72" s="761"/>
      <c r="M72" s="761"/>
      <c r="N72" s="761"/>
      <c r="O72" s="761"/>
      <c r="P72" s="761"/>
      <c r="Q72" s="761"/>
      <c r="R72" s="761"/>
      <c r="S72" s="761"/>
      <c r="T72" s="761"/>
      <c r="U72" s="761"/>
      <c r="V72" s="761"/>
      <c r="W72" s="761"/>
      <c r="X72" s="762"/>
      <c r="Y72" s="22"/>
    </row>
    <row r="73" spans="2:25" x14ac:dyDescent="0.25">
      <c r="B73" s="21"/>
      <c r="C73" s="6"/>
      <c r="D73" s="760"/>
      <c r="E73" s="761"/>
      <c r="F73" s="761"/>
      <c r="G73" s="761"/>
      <c r="H73" s="761"/>
      <c r="I73" s="761"/>
      <c r="J73" s="761"/>
      <c r="K73" s="761"/>
      <c r="L73" s="761"/>
      <c r="M73" s="761"/>
      <c r="N73" s="761"/>
      <c r="O73" s="761"/>
      <c r="P73" s="761"/>
      <c r="Q73" s="761"/>
      <c r="R73" s="761"/>
      <c r="S73" s="761"/>
      <c r="T73" s="761"/>
      <c r="U73" s="761"/>
      <c r="V73" s="761"/>
      <c r="W73" s="761"/>
      <c r="X73" s="762"/>
      <c r="Y73" s="22"/>
    </row>
    <row r="74" spans="2:25" x14ac:dyDescent="0.25">
      <c r="B74" s="21"/>
      <c r="C74" s="6"/>
      <c r="D74" s="760"/>
      <c r="E74" s="761"/>
      <c r="F74" s="761"/>
      <c r="G74" s="761"/>
      <c r="H74" s="761"/>
      <c r="I74" s="761"/>
      <c r="J74" s="761"/>
      <c r="K74" s="761"/>
      <c r="L74" s="761"/>
      <c r="M74" s="761"/>
      <c r="N74" s="761"/>
      <c r="O74" s="761"/>
      <c r="P74" s="761"/>
      <c r="Q74" s="761"/>
      <c r="R74" s="761"/>
      <c r="S74" s="761"/>
      <c r="T74" s="761"/>
      <c r="U74" s="761"/>
      <c r="V74" s="761"/>
      <c r="W74" s="761"/>
      <c r="X74" s="762"/>
      <c r="Y74" s="22"/>
    </row>
    <row r="75" spans="2:25" x14ac:dyDescent="0.25">
      <c r="B75" s="21"/>
      <c r="C75" s="6"/>
      <c r="D75" s="760"/>
      <c r="E75" s="761"/>
      <c r="F75" s="761"/>
      <c r="G75" s="761"/>
      <c r="H75" s="761"/>
      <c r="I75" s="761"/>
      <c r="J75" s="761"/>
      <c r="K75" s="761"/>
      <c r="L75" s="761"/>
      <c r="M75" s="761"/>
      <c r="N75" s="761"/>
      <c r="O75" s="761"/>
      <c r="P75" s="761"/>
      <c r="Q75" s="761"/>
      <c r="R75" s="761"/>
      <c r="S75" s="761"/>
      <c r="T75" s="761"/>
      <c r="U75" s="761"/>
      <c r="V75" s="761"/>
      <c r="W75" s="761"/>
      <c r="X75" s="762"/>
      <c r="Y75" s="22"/>
    </row>
    <row r="76" spans="2:25" x14ac:dyDescent="0.25">
      <c r="B76" s="21"/>
      <c r="C76" s="6"/>
      <c r="D76" s="760"/>
      <c r="E76" s="761"/>
      <c r="F76" s="761"/>
      <c r="G76" s="761"/>
      <c r="H76" s="761"/>
      <c r="I76" s="761"/>
      <c r="J76" s="761"/>
      <c r="K76" s="761"/>
      <c r="L76" s="761"/>
      <c r="M76" s="761"/>
      <c r="N76" s="761"/>
      <c r="O76" s="761"/>
      <c r="P76" s="761"/>
      <c r="Q76" s="761"/>
      <c r="R76" s="761"/>
      <c r="S76" s="761"/>
      <c r="T76" s="761"/>
      <c r="U76" s="761"/>
      <c r="V76" s="761"/>
      <c r="W76" s="761"/>
      <c r="X76" s="762"/>
      <c r="Y76" s="22"/>
    </row>
    <row r="77" spans="2:25" x14ac:dyDescent="0.25">
      <c r="B77" s="21"/>
      <c r="C77" s="6"/>
      <c r="D77" s="763"/>
      <c r="E77" s="764"/>
      <c r="F77" s="764"/>
      <c r="G77" s="764"/>
      <c r="H77" s="764"/>
      <c r="I77" s="764"/>
      <c r="J77" s="764"/>
      <c r="K77" s="764"/>
      <c r="L77" s="764"/>
      <c r="M77" s="764"/>
      <c r="N77" s="764"/>
      <c r="O77" s="764"/>
      <c r="P77" s="764"/>
      <c r="Q77" s="764"/>
      <c r="R77" s="764"/>
      <c r="S77" s="764"/>
      <c r="T77" s="764"/>
      <c r="U77" s="764"/>
      <c r="V77" s="764"/>
      <c r="W77" s="764"/>
      <c r="X77" s="765"/>
      <c r="Y77" s="22"/>
    </row>
    <row r="78" spans="2:25" x14ac:dyDescent="0.25">
      <c r="B78" s="21"/>
      <c r="C78" s="6"/>
      <c r="D78" s="102"/>
      <c r="E78" s="6"/>
      <c r="F78" s="6"/>
      <c r="G78" s="6"/>
      <c r="H78" s="6"/>
      <c r="I78" s="6"/>
      <c r="J78" s="6"/>
      <c r="K78" s="6"/>
      <c r="L78" s="6"/>
      <c r="M78" s="478"/>
      <c r="N78" s="478"/>
      <c r="O78" s="173"/>
      <c r="P78" s="6"/>
      <c r="Q78" s="6"/>
      <c r="R78" s="6"/>
      <c r="S78" s="6"/>
      <c r="T78" s="6"/>
      <c r="U78" s="6"/>
      <c r="V78" s="6"/>
      <c r="W78" s="479"/>
      <c r="X78" s="479"/>
      <c r="Y78" s="22"/>
    </row>
    <row r="79" spans="2:25" ht="15.75" thickBot="1" x14ac:dyDescent="0.3">
      <c r="B79" s="24"/>
      <c r="C79" s="25"/>
      <c r="D79" s="25"/>
      <c r="E79" s="25"/>
      <c r="F79" s="25"/>
      <c r="G79" s="25"/>
      <c r="H79" s="25"/>
      <c r="I79" s="25"/>
      <c r="J79" s="25"/>
      <c r="K79" s="25"/>
      <c r="L79" s="25"/>
      <c r="M79" s="25"/>
      <c r="N79" s="25"/>
      <c r="O79" s="25"/>
      <c r="P79" s="25"/>
      <c r="Q79" s="25"/>
      <c r="R79" s="25"/>
      <c r="S79" s="25"/>
      <c r="T79" s="25"/>
      <c r="U79" s="25"/>
      <c r="V79" s="25"/>
      <c r="W79" s="25"/>
      <c r="X79" s="25"/>
      <c r="Y79" s="26"/>
    </row>
    <row r="82" spans="2:33" ht="15.75" thickBot="1" x14ac:dyDescent="0.3"/>
    <row r="83" spans="2:33" x14ac:dyDescent="0.25">
      <c r="B83" s="18"/>
      <c r="C83" s="19"/>
      <c r="D83" s="19"/>
      <c r="E83" s="19"/>
      <c r="F83" s="19"/>
      <c r="G83" s="19"/>
      <c r="H83" s="19"/>
      <c r="I83" s="19"/>
      <c r="J83" s="19"/>
      <c r="K83" s="19"/>
      <c r="L83" s="19"/>
      <c r="M83" s="19"/>
      <c r="N83" s="19"/>
      <c r="O83" s="19"/>
      <c r="P83" s="19"/>
      <c r="Q83" s="19"/>
      <c r="R83" s="19"/>
      <c r="S83" s="19"/>
      <c r="T83" s="19"/>
      <c r="U83" s="19"/>
      <c r="V83" s="19"/>
      <c r="W83" s="19"/>
      <c r="X83" s="19"/>
      <c r="Y83" s="20"/>
    </row>
    <row r="84" spans="2:33" s="499" customFormat="1" x14ac:dyDescent="0.25">
      <c r="B84" s="21"/>
      <c r="C84" s="6"/>
      <c r="D84" s="6"/>
      <c r="E84" s="6"/>
      <c r="F84" s="6"/>
      <c r="G84" s="6"/>
      <c r="H84" s="6"/>
      <c r="I84" s="6"/>
      <c r="J84" s="6"/>
      <c r="K84" s="6"/>
      <c r="L84" s="6"/>
      <c r="M84" s="6"/>
      <c r="N84" s="6"/>
      <c r="O84" s="6"/>
      <c r="P84" s="6"/>
      <c r="Q84" s="6"/>
      <c r="R84" s="6"/>
      <c r="S84" s="6"/>
      <c r="T84" s="6"/>
      <c r="U84" s="6"/>
      <c r="V84" s="6"/>
      <c r="W84" s="6"/>
      <c r="X84" s="6"/>
      <c r="Y84" s="22"/>
    </row>
    <row r="85" spans="2:33" s="499" customFormat="1" x14ac:dyDescent="0.25">
      <c r="B85" s="21"/>
      <c r="C85" s="173" t="s">
        <v>2619</v>
      </c>
      <c r="D85" s="6"/>
      <c r="E85" s="6"/>
      <c r="F85" s="6"/>
      <c r="G85" s="6"/>
      <c r="H85" s="6"/>
      <c r="I85" s="6"/>
      <c r="J85" s="6"/>
      <c r="K85" s="6"/>
      <c r="L85" s="6"/>
      <c r="M85" s="6"/>
      <c r="N85" s="6"/>
      <c r="O85" s="6"/>
      <c r="P85" s="6"/>
      <c r="Q85" s="6"/>
      <c r="R85" s="6"/>
      <c r="S85" s="6"/>
      <c r="T85" s="6"/>
      <c r="U85" s="6"/>
      <c r="V85" s="6"/>
      <c r="W85" s="6"/>
      <c r="X85" s="6"/>
      <c r="Y85" s="22"/>
    </row>
    <row r="86" spans="2:33" x14ac:dyDescent="0.25">
      <c r="B86" s="21"/>
      <c r="C86" s="6"/>
      <c r="D86" s="6"/>
      <c r="E86" s="6"/>
      <c r="F86" s="6"/>
      <c r="G86" s="6"/>
      <c r="H86" s="6"/>
      <c r="I86" s="6"/>
      <c r="J86" s="6"/>
      <c r="Q86" s="1031" t="s">
        <v>737</v>
      </c>
      <c r="R86" s="1031"/>
      <c r="S86" s="958" t="s">
        <v>300</v>
      </c>
      <c r="T86" s="958"/>
      <c r="U86" s="958" t="s">
        <v>299</v>
      </c>
      <c r="V86" s="958"/>
      <c r="W86" s="1024"/>
      <c r="X86" s="1024"/>
      <c r="Y86" s="22"/>
      <c r="AB86" s="6"/>
    </row>
    <row r="87" spans="2:33" x14ac:dyDescent="0.25">
      <c r="B87" s="21"/>
      <c r="C87" s="226" t="str">
        <f>"Azote apporté pendant 1 campagne sur les surfaces en horticulture et pépinière (" &amp; TEXT(cCampagneN,"0000-00") &amp; ")"</f>
        <v>Azote apporté pendant 1 campagne sur les surfaces en horticulture et pépinière (N)</v>
      </c>
      <c r="D87" s="226"/>
      <c r="E87" s="226"/>
      <c r="F87" s="226"/>
      <c r="G87" s="226"/>
      <c r="H87" s="226"/>
      <c r="I87" s="226"/>
      <c r="J87" s="51"/>
      <c r="K87" s="51"/>
      <c r="L87" s="51"/>
      <c r="M87" s="51"/>
      <c r="N87" s="51"/>
      <c r="O87" s="51"/>
      <c r="P87" s="47"/>
      <c r="Q87" s="1018"/>
      <c r="R87" s="1018"/>
      <c r="S87" s="1022">
        <f>SUM(Paramètres!AA5:AA25)/1000</f>
        <v>0</v>
      </c>
      <c r="T87" s="1022"/>
      <c r="U87" s="1022">
        <f>SUM(Paramètres!Z5:Z25)/1000</f>
        <v>0</v>
      </c>
      <c r="V87" s="990"/>
      <c r="W87" s="1023"/>
      <c r="X87" s="992"/>
      <c r="Y87" s="22"/>
      <c r="AB87" s="6"/>
    </row>
    <row r="88" spans="2:33" x14ac:dyDescent="0.25">
      <c r="B88" s="21"/>
      <c r="C88" s="227" t="str">
        <f>"Azote apporté pendant 1 campagne sur les surfaces en horticulture et pépinière (" &amp; cCampagneN1 &amp; ")"</f>
        <v>Azote apporté pendant 1 campagne sur les surfaces en horticulture et pépinière (N-1)</v>
      </c>
      <c r="D88" s="227"/>
      <c r="E88" s="227"/>
      <c r="F88" s="227"/>
      <c r="G88" s="227"/>
      <c r="H88" s="227"/>
      <c r="I88" s="227"/>
      <c r="J88" s="52"/>
      <c r="K88" s="52"/>
      <c r="L88" s="52"/>
      <c r="M88" s="52"/>
      <c r="N88" s="52"/>
      <c r="O88" s="52"/>
      <c r="P88" s="48"/>
      <c r="Q88" s="1018"/>
      <c r="R88" s="1018"/>
      <c r="S88" s="1022">
        <f>SUM(Paramètres!AE5:AE25)/1000</f>
        <v>0</v>
      </c>
      <c r="T88" s="1022"/>
      <c r="U88" s="1022">
        <f>SUM(Paramètres!AD5:AD25)/1000</f>
        <v>0</v>
      </c>
      <c r="V88" s="990"/>
      <c r="W88" s="1023"/>
      <c r="X88" s="992"/>
      <c r="Y88" s="22"/>
      <c r="AB88" s="6"/>
    </row>
    <row r="89" spans="2:33" x14ac:dyDescent="0.25">
      <c r="B89" s="21"/>
      <c r="C89" s="227" t="str">
        <f>"Azote apporté pendant 1 campagne sur les surfaces en horticulture et pépinière (" &amp; CCampagneN2 &amp; ")"</f>
        <v>Azote apporté pendant 1 campagne sur les surfaces en horticulture et pépinière (N-2)</v>
      </c>
      <c r="D89" s="227"/>
      <c r="E89" s="227"/>
      <c r="F89" s="227"/>
      <c r="G89" s="227"/>
      <c r="H89" s="227"/>
      <c r="I89" s="227"/>
      <c r="J89" s="52"/>
      <c r="K89" s="52"/>
      <c r="L89" s="52"/>
      <c r="M89" s="52"/>
      <c r="N89" s="52"/>
      <c r="O89" s="52"/>
      <c r="P89" s="48"/>
      <c r="Q89" s="1018"/>
      <c r="R89" s="1018"/>
      <c r="S89" s="1022">
        <f>SUM(Paramètres!AI5:AI25)/1000</f>
        <v>0</v>
      </c>
      <c r="T89" s="1022"/>
      <c r="U89" s="1022">
        <f>SUM(Paramètres!AH5:AH25)/1000</f>
        <v>0</v>
      </c>
      <c r="V89" s="990"/>
      <c r="W89" s="1023"/>
      <c r="X89" s="992"/>
      <c r="Y89" s="22"/>
    </row>
    <row r="90" spans="2:33" x14ac:dyDescent="0.25">
      <c r="B90" s="21"/>
      <c r="C90" s="46"/>
      <c r="D90" s="6"/>
      <c r="E90" s="6"/>
      <c r="F90" s="6"/>
      <c r="G90" s="6"/>
      <c r="H90" s="6"/>
      <c r="I90" s="6"/>
      <c r="J90" s="6"/>
      <c r="K90" s="193"/>
      <c r="L90" s="193"/>
      <c r="M90" s="193"/>
      <c r="N90" s="193"/>
      <c r="O90" s="193"/>
      <c r="P90" s="193"/>
      <c r="Q90" s="538" t="str">
        <f>IF(Q93&lt;&gt;"","Bien saisir les quantités sur " &amp; Q93&amp; " campagne(s), tout comme les surfaces et durées dans l'onglet Surfaces.","")</f>
        <v/>
      </c>
      <c r="Y90" s="22"/>
    </row>
    <row r="91" spans="2:33" x14ac:dyDescent="0.25">
      <c r="B91" s="21"/>
      <c r="C91" s="6"/>
      <c r="D91" s="6"/>
      <c r="E91" s="6"/>
      <c r="F91" s="6"/>
      <c r="G91" s="6"/>
      <c r="H91" s="6"/>
      <c r="I91" s="6"/>
      <c r="J91" s="6"/>
      <c r="K91" s="6"/>
      <c r="L91" s="6"/>
      <c r="O91" s="185"/>
      <c r="P91" s="185"/>
      <c r="Q91" s="185"/>
      <c r="R91" s="185"/>
      <c r="Y91" s="22"/>
    </row>
    <row r="92" spans="2:33" x14ac:dyDescent="0.25">
      <c r="B92" s="21"/>
      <c r="C92" s="6"/>
      <c r="D92" s="6"/>
      <c r="E92" s="6"/>
      <c r="F92" s="6"/>
      <c r="G92" s="6"/>
      <c r="H92" s="6"/>
      <c r="I92" s="6"/>
      <c r="J92" s="6"/>
      <c r="K92" s="6"/>
      <c r="L92" s="6"/>
      <c r="O92" s="185"/>
      <c r="P92" s="185"/>
      <c r="Q92" s="185"/>
      <c r="R92" s="185"/>
      <c r="S92" s="741" t="s">
        <v>245</v>
      </c>
      <c r="T92" s="741"/>
      <c r="Y92" s="22"/>
    </row>
    <row r="93" spans="2:33" x14ac:dyDescent="0.25">
      <c r="B93" s="21"/>
      <c r="C93" s="86" t="s">
        <v>2623</v>
      </c>
      <c r="D93" s="86"/>
      <c r="E93" s="86"/>
      <c r="F93" s="86"/>
      <c r="G93" s="86"/>
      <c r="H93" s="86"/>
      <c r="I93" s="86"/>
      <c r="J93" s="86"/>
      <c r="K93" s="86"/>
      <c r="L93" s="86"/>
      <c r="M93" s="86"/>
      <c r="N93" s="86"/>
      <c r="O93" s="86"/>
      <c r="P93" s="86"/>
      <c r="Q93" s="989" t="str">
        <f>IF(cTypeAudit="","",IF(cTypeAudit="Initial",1,IF(cTypeAudit="Suivi",2,3)))</f>
        <v/>
      </c>
      <c r="R93" s="989"/>
      <c r="T93" s="188" t="str">
        <f>IF(Q93="","Saisir le type de l'audit dans l'onglet Identification","")</f>
        <v>Saisir le type de l'audit dans l'onglet Identification</v>
      </c>
      <c r="Y93" s="22"/>
    </row>
    <row r="94" spans="2:33" x14ac:dyDescent="0.25">
      <c r="B94" s="21"/>
      <c r="C94" s="86" t="str">
        <f>"Quantité totale apportée sur " &amp; Q93 &amp; " campagne(s)"</f>
        <v>Quantité totale apportée sur  campagne(s)</v>
      </c>
      <c r="D94" s="86"/>
      <c r="E94" s="86"/>
      <c r="F94" s="86"/>
      <c r="G94" s="86"/>
      <c r="H94" s="86"/>
      <c r="I94" s="86"/>
      <c r="J94" s="86"/>
      <c r="K94" s="86"/>
      <c r="L94" s="86"/>
      <c r="M94" s="44"/>
      <c r="N94" s="44"/>
      <c r="O94" s="218"/>
      <c r="P94" s="44"/>
      <c r="Q94" s="896">
        <f>IF(SUM(Q87:R89) = 0,0,IF(Q93=1,Q87,IF(Q93=2,SUM(Q87:R88),SUM(Q87:R89))))</f>
        <v>0</v>
      </c>
      <c r="R94" s="896"/>
      <c r="Y94" s="22"/>
    </row>
    <row r="95" spans="2:33" x14ac:dyDescent="0.25">
      <c r="B95" s="21"/>
      <c r="C95" s="86" t="s">
        <v>733</v>
      </c>
      <c r="D95" s="86"/>
      <c r="E95" s="86"/>
      <c r="F95" s="86"/>
      <c r="G95" s="86"/>
      <c r="H95" s="86"/>
      <c r="I95" s="86"/>
      <c r="J95" s="86"/>
      <c r="K95" s="86"/>
      <c r="L95" s="86"/>
      <c r="M95" s="44"/>
      <c r="N95" s="44"/>
      <c r="O95" s="218"/>
      <c r="P95" s="44"/>
      <c r="Q95" s="878">
        <f>IF(Q93="",0,IF(Q93=1,S87,IF(Q93=2,SUM(S87:T88),SUM(S87:T89))))</f>
        <v>0</v>
      </c>
      <c r="R95" s="879"/>
      <c r="Y95" s="22"/>
      <c r="AC95" t="s">
        <v>254</v>
      </c>
    </row>
    <row r="96" spans="2:33" x14ac:dyDescent="0.25">
      <c r="B96" s="21"/>
      <c r="C96" s="86" t="s">
        <v>734</v>
      </c>
      <c r="D96" s="86"/>
      <c r="E96" s="86"/>
      <c r="F96" s="86"/>
      <c r="G96" s="86"/>
      <c r="H96" s="86"/>
      <c r="I96" s="86"/>
      <c r="J96" s="86"/>
      <c r="K96" s="86"/>
      <c r="L96" s="86"/>
      <c r="M96" s="44"/>
      <c r="N96" s="44"/>
      <c r="O96" s="218"/>
      <c r="P96" s="44"/>
      <c r="Q96" s="878">
        <f>IF(Q93=1,U87,IF(Q93=2,SUM(U87:V88),SUM(U87:V89)))</f>
        <v>0</v>
      </c>
      <c r="R96" s="879"/>
      <c r="Y96" s="22"/>
      <c r="AC96" s="399" t="s">
        <v>747</v>
      </c>
      <c r="AD96" s="387" t="s">
        <v>748</v>
      </c>
      <c r="AE96" s="387" t="s">
        <v>749</v>
      </c>
      <c r="AF96" s="387" t="s">
        <v>750</v>
      </c>
      <c r="AG96" s="387" t="s">
        <v>751</v>
      </c>
    </row>
    <row r="97" spans="2:33" x14ac:dyDescent="0.25">
      <c r="B97" s="21"/>
      <c r="C97" s="186" t="s">
        <v>731</v>
      </c>
      <c r="D97" s="86"/>
      <c r="E97" s="86"/>
      <c r="F97" s="86"/>
      <c r="G97" s="86"/>
      <c r="H97" s="86"/>
      <c r="I97" s="86"/>
      <c r="J97" s="86"/>
      <c r="K97" s="86"/>
      <c r="L97" s="86"/>
      <c r="M97" s="44"/>
      <c r="N97" s="44"/>
      <c r="O97" s="44"/>
      <c r="P97" s="44"/>
      <c r="Q97" s="44"/>
      <c r="R97" s="49"/>
      <c r="S97" s="894">
        <f>IF(COUNT(Q87:R89)&gt;=1,IF(Q93="",0,AG97),0)</f>
        <v>0</v>
      </c>
      <c r="T97" s="895"/>
      <c r="Y97" s="22"/>
      <c r="AC97" s="387">
        <f>(Q95-Q96)/4</f>
        <v>0</v>
      </c>
      <c r="AD97" s="387">
        <f>AC97*2</f>
        <v>0</v>
      </c>
      <c r="AE97" s="387">
        <f>AC97*3</f>
        <v>0</v>
      </c>
      <c r="AF97" s="387">
        <f>AC97*4</f>
        <v>0</v>
      </c>
      <c r="AG97" s="400">
        <f>IF(Q94&lt;Q96,5,IF(AND(Q94&gt;=Q96,Q94&lt;(Q96+AC97)),4,IF(AND(Q94&gt;=(Q96+AC97),Q94&lt;(Q96+AD97)),3,IF(AND(Q94&gt;=(Q96+AD97),Q94&lt;(Q96+AE97)),2,IF(AND(Q94&gt;=(Q96+AE97),Q94&lt;Q95),1,0)))))</f>
        <v>0</v>
      </c>
    </row>
    <row r="98" spans="2:33" x14ac:dyDescent="0.25">
      <c r="B98" s="21"/>
      <c r="C98" s="86" t="str">
        <f>"Surfaces en horticulture et pépinière"</f>
        <v>Surfaces en horticulture et pépinière</v>
      </c>
      <c r="D98" s="86"/>
      <c r="E98" s="86"/>
      <c r="F98" s="86"/>
      <c r="G98" s="86"/>
      <c r="H98" s="86"/>
      <c r="I98" s="86"/>
      <c r="J98" s="86"/>
      <c r="K98" s="86"/>
      <c r="L98" s="86"/>
      <c r="M98" s="44"/>
      <c r="N98" s="44"/>
      <c r="O98" s="44"/>
      <c r="P98" s="44"/>
      <c r="Q98" s="990">
        <f>Surfaces!O195</f>
        <v>0</v>
      </c>
      <c r="R98" s="991"/>
      <c r="W98" s="393"/>
      <c r="X98" s="393"/>
      <c r="Y98" s="22"/>
    </row>
    <row r="99" spans="2:33" x14ac:dyDescent="0.25">
      <c r="B99" s="21"/>
      <c r="C99" s="86" t="str">
        <f>"Total SAU"</f>
        <v>Total SAU</v>
      </c>
      <c r="D99" s="86"/>
      <c r="E99" s="86"/>
      <c r="F99" s="86"/>
      <c r="G99" s="86"/>
      <c r="H99" s="86"/>
      <c r="I99" s="86"/>
      <c r="J99" s="86"/>
      <c r="K99" s="86"/>
      <c r="L99" s="86"/>
      <c r="M99" s="44"/>
      <c r="N99" s="44"/>
      <c r="O99" s="44"/>
      <c r="P99" s="44"/>
      <c r="Q99" s="990">
        <f>cSAU</f>
        <v>10</v>
      </c>
      <c r="R99" s="991"/>
      <c r="W99" s="770" t="s">
        <v>723</v>
      </c>
      <c r="X99" s="770"/>
      <c r="Y99" s="22"/>
    </row>
    <row r="100" spans="2:33" x14ac:dyDescent="0.25">
      <c r="B100" s="21"/>
      <c r="C100" s="186" t="s">
        <v>732</v>
      </c>
      <c r="D100" s="86"/>
      <c r="E100" s="86"/>
      <c r="F100" s="86"/>
      <c r="G100" s="86"/>
      <c r="H100" s="86"/>
      <c r="I100" s="86"/>
      <c r="J100" s="86"/>
      <c r="K100" s="86"/>
      <c r="L100" s="86"/>
      <c r="M100" s="44"/>
      <c r="N100" s="44"/>
      <c r="O100" s="44"/>
      <c r="P100" s="44"/>
      <c r="Q100" s="44"/>
      <c r="R100" s="49"/>
      <c r="S100" s="986">
        <f>IF(cSAU=0,0,IFERROR(S97*(Q98/Q99),0))</f>
        <v>0</v>
      </c>
      <c r="T100" s="987"/>
      <c r="W100" s="771">
        <f>IF(cSAU=0,5,5*(Q98/Q99))</f>
        <v>0</v>
      </c>
      <c r="X100" s="772"/>
      <c r="Y100" s="22"/>
    </row>
    <row r="101" spans="2:33" x14ac:dyDescent="0.25">
      <c r="B101" s="21"/>
      <c r="C101" s="46"/>
      <c r="D101" s="6"/>
      <c r="E101" s="6"/>
      <c r="F101" s="6"/>
      <c r="G101" s="6"/>
      <c r="H101" s="6"/>
      <c r="I101" s="6"/>
      <c r="J101" s="6"/>
      <c r="K101" s="193"/>
      <c r="L101" s="193"/>
      <c r="M101" s="193"/>
      <c r="N101" s="193"/>
      <c r="O101" s="193"/>
      <c r="P101" s="193"/>
      <c r="Y101" s="22"/>
    </row>
    <row r="102" spans="2:33" x14ac:dyDescent="0.25">
      <c r="B102" s="21"/>
      <c r="C102" s="46"/>
      <c r="D102" s="6"/>
      <c r="E102" s="6"/>
      <c r="F102" s="6"/>
      <c r="G102" s="6"/>
      <c r="H102" s="6"/>
      <c r="I102" s="6"/>
      <c r="J102" s="6"/>
      <c r="K102" s="475"/>
      <c r="L102" s="475"/>
      <c r="M102" s="475"/>
      <c r="N102" s="475"/>
      <c r="O102" s="475"/>
      <c r="P102" s="475"/>
      <c r="Y102" s="22"/>
    </row>
    <row r="103" spans="2:33" x14ac:dyDescent="0.25">
      <c r="B103" s="21"/>
      <c r="C103" s="102" t="s">
        <v>2532</v>
      </c>
      <c r="D103" s="6"/>
      <c r="E103" s="6"/>
      <c r="F103" s="6"/>
      <c r="G103" s="6"/>
      <c r="H103" s="6"/>
      <c r="I103" s="6"/>
      <c r="J103" s="6"/>
      <c r="K103" s="6"/>
      <c r="L103" s="6"/>
      <c r="M103" s="6"/>
      <c r="N103" s="6"/>
      <c r="O103" s="6"/>
      <c r="P103" s="6"/>
      <c r="Q103" s="6"/>
      <c r="R103" s="6"/>
      <c r="S103" s="6"/>
      <c r="T103" s="6"/>
      <c r="U103" s="6"/>
      <c r="V103" s="6"/>
      <c r="W103" s="6"/>
      <c r="Y103" s="22"/>
    </row>
    <row r="104" spans="2:33" x14ac:dyDescent="0.25">
      <c r="B104" s="21"/>
      <c r="C104" s="757"/>
      <c r="D104" s="758"/>
      <c r="E104" s="758"/>
      <c r="F104" s="758"/>
      <c r="G104" s="758"/>
      <c r="H104" s="758"/>
      <c r="I104" s="758"/>
      <c r="J104" s="758"/>
      <c r="K104" s="758"/>
      <c r="L104" s="758"/>
      <c r="M104" s="758"/>
      <c r="N104" s="758"/>
      <c r="O104" s="758"/>
      <c r="P104" s="758"/>
      <c r="Q104" s="758"/>
      <c r="R104" s="758"/>
      <c r="S104" s="758"/>
      <c r="T104" s="758"/>
      <c r="U104" s="758"/>
      <c r="V104" s="758"/>
      <c r="W104" s="759"/>
      <c r="Y104" s="22"/>
    </row>
    <row r="105" spans="2:33" x14ac:dyDescent="0.25">
      <c r="B105" s="21"/>
      <c r="C105" s="760"/>
      <c r="D105" s="761"/>
      <c r="E105" s="761"/>
      <c r="F105" s="761"/>
      <c r="G105" s="761"/>
      <c r="H105" s="761"/>
      <c r="I105" s="761"/>
      <c r="J105" s="761"/>
      <c r="K105" s="761"/>
      <c r="L105" s="761"/>
      <c r="M105" s="761"/>
      <c r="N105" s="761"/>
      <c r="O105" s="761"/>
      <c r="P105" s="761"/>
      <c r="Q105" s="761"/>
      <c r="R105" s="761"/>
      <c r="S105" s="761"/>
      <c r="T105" s="761"/>
      <c r="U105" s="761"/>
      <c r="V105" s="761"/>
      <c r="W105" s="762"/>
      <c r="Y105" s="22"/>
    </row>
    <row r="106" spans="2:33" x14ac:dyDescent="0.25">
      <c r="B106" s="21"/>
      <c r="C106" s="760"/>
      <c r="D106" s="761"/>
      <c r="E106" s="761"/>
      <c r="F106" s="761"/>
      <c r="G106" s="761"/>
      <c r="H106" s="761"/>
      <c r="I106" s="761"/>
      <c r="J106" s="761"/>
      <c r="K106" s="761"/>
      <c r="L106" s="761"/>
      <c r="M106" s="761"/>
      <c r="N106" s="761"/>
      <c r="O106" s="761"/>
      <c r="P106" s="761"/>
      <c r="Q106" s="761"/>
      <c r="R106" s="761"/>
      <c r="S106" s="761"/>
      <c r="T106" s="761"/>
      <c r="U106" s="761"/>
      <c r="V106" s="761"/>
      <c r="W106" s="762"/>
      <c r="Y106" s="22"/>
    </row>
    <row r="107" spans="2:33" x14ac:dyDescent="0.25">
      <c r="B107" s="21"/>
      <c r="C107" s="760"/>
      <c r="D107" s="761"/>
      <c r="E107" s="761"/>
      <c r="F107" s="761"/>
      <c r="G107" s="761"/>
      <c r="H107" s="761"/>
      <c r="I107" s="761"/>
      <c r="J107" s="761"/>
      <c r="K107" s="761"/>
      <c r="L107" s="761"/>
      <c r="M107" s="761"/>
      <c r="N107" s="761"/>
      <c r="O107" s="761"/>
      <c r="P107" s="761"/>
      <c r="Q107" s="761"/>
      <c r="R107" s="761"/>
      <c r="S107" s="761"/>
      <c r="T107" s="761"/>
      <c r="U107" s="761"/>
      <c r="V107" s="761"/>
      <c r="W107" s="762"/>
      <c r="Y107" s="22"/>
    </row>
    <row r="108" spans="2:33" x14ac:dyDescent="0.25">
      <c r="B108" s="21"/>
      <c r="C108" s="763"/>
      <c r="D108" s="764"/>
      <c r="E108" s="764"/>
      <c r="F108" s="764"/>
      <c r="G108" s="764"/>
      <c r="H108" s="764"/>
      <c r="I108" s="764"/>
      <c r="J108" s="764"/>
      <c r="K108" s="764"/>
      <c r="L108" s="764"/>
      <c r="M108" s="764"/>
      <c r="N108" s="764"/>
      <c r="O108" s="764"/>
      <c r="P108" s="764"/>
      <c r="Q108" s="764"/>
      <c r="R108" s="764"/>
      <c r="S108" s="764"/>
      <c r="T108" s="764"/>
      <c r="U108" s="764"/>
      <c r="V108" s="764"/>
      <c r="W108" s="765"/>
      <c r="Y108" s="22"/>
    </row>
    <row r="109" spans="2:33" x14ac:dyDescent="0.25">
      <c r="B109" s="21"/>
      <c r="C109" s="46"/>
      <c r="D109" s="6"/>
      <c r="E109" s="6"/>
      <c r="F109" s="6"/>
      <c r="G109" s="6"/>
      <c r="H109" s="6"/>
      <c r="I109" s="6"/>
      <c r="J109" s="6"/>
      <c r="K109" s="475"/>
      <c r="L109" s="475"/>
      <c r="M109" s="475"/>
      <c r="N109" s="475"/>
      <c r="O109" s="475"/>
      <c r="P109" s="475"/>
      <c r="Y109" s="22"/>
    </row>
    <row r="110" spans="2:33" ht="15.75" thickBot="1" x14ac:dyDescent="0.3">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6"/>
    </row>
    <row r="113" spans="2:25" ht="15.75" thickBot="1" x14ac:dyDescent="0.3"/>
    <row r="114" spans="2:25" x14ac:dyDescent="0.25">
      <c r="B114" s="18"/>
      <c r="C114" s="19"/>
      <c r="D114" s="19"/>
      <c r="E114" s="19"/>
      <c r="F114" s="19"/>
      <c r="G114" s="19"/>
      <c r="H114" s="19"/>
      <c r="I114" s="19"/>
      <c r="J114" s="19"/>
      <c r="K114" s="19"/>
      <c r="L114" s="19"/>
      <c r="M114" s="19"/>
      <c r="N114" s="19"/>
      <c r="O114" s="19"/>
      <c r="P114" s="19"/>
      <c r="Q114" s="19"/>
      <c r="R114" s="19"/>
      <c r="S114" s="19"/>
      <c r="T114" s="19"/>
      <c r="U114" s="19"/>
      <c r="V114" s="19"/>
      <c r="W114" s="19"/>
      <c r="X114" s="19"/>
      <c r="Y114" s="20"/>
    </row>
    <row r="115" spans="2:25" x14ac:dyDescent="0.25">
      <c r="B115" s="21"/>
      <c r="C115" s="6"/>
      <c r="D115" s="6"/>
      <c r="E115" s="6"/>
      <c r="F115" s="6"/>
      <c r="G115" s="6"/>
      <c r="H115" s="6"/>
      <c r="I115" s="6"/>
      <c r="J115" s="6"/>
      <c r="K115" s="6"/>
      <c r="L115" s="6"/>
      <c r="M115" s="6"/>
      <c r="N115" s="6"/>
      <c r="O115" s="6"/>
      <c r="P115" s="6"/>
      <c r="Q115" s="6"/>
      <c r="R115" s="6"/>
      <c r="S115" s="6"/>
      <c r="T115" s="6"/>
      <c r="U115" s="6"/>
      <c r="V115" s="6"/>
      <c r="W115" s="6"/>
      <c r="X115" s="6"/>
      <c r="Y115" s="22"/>
    </row>
    <row r="116" spans="2:25" x14ac:dyDescent="0.25">
      <c r="B116" s="21"/>
      <c r="C116" s="51" t="s">
        <v>2401</v>
      </c>
      <c r="D116" s="51"/>
      <c r="E116" s="51"/>
      <c r="F116" s="51"/>
      <c r="G116" s="51"/>
      <c r="H116" s="51"/>
      <c r="I116" s="51"/>
      <c r="J116" s="51"/>
      <c r="K116" s="51"/>
      <c r="L116" s="51"/>
      <c r="M116" s="47"/>
      <c r="N116" s="1018"/>
      <c r="O116" s="1018"/>
      <c r="P116" s="6"/>
      <c r="Q116" s="6"/>
      <c r="R116" s="6"/>
      <c r="S116" s="6"/>
      <c r="T116" s="6"/>
      <c r="U116" s="6"/>
      <c r="V116" s="6"/>
      <c r="W116" s="6"/>
      <c r="X116" s="6"/>
      <c r="Y116" s="22"/>
    </row>
    <row r="117" spans="2:25" x14ac:dyDescent="0.25">
      <c r="B117" s="21"/>
      <c r="C117" s="52" t="s">
        <v>2402</v>
      </c>
      <c r="D117" s="52"/>
      <c r="E117" s="52"/>
      <c r="F117" s="52"/>
      <c r="G117" s="52"/>
      <c r="H117" s="52"/>
      <c r="I117" s="52"/>
      <c r="J117" s="52"/>
      <c r="K117" s="52"/>
      <c r="L117" s="52"/>
      <c r="M117" s="48"/>
      <c r="N117" s="1018"/>
      <c r="O117" s="1018"/>
      <c r="P117" s="6"/>
      <c r="Q117" s="6"/>
      <c r="R117" s="6"/>
      <c r="S117" s="6"/>
      <c r="T117" s="6"/>
      <c r="U117" s="6"/>
      <c r="V117" s="6"/>
      <c r="W117" s="6"/>
      <c r="X117" s="6"/>
      <c r="Y117" s="22"/>
    </row>
    <row r="118" spans="2:25" x14ac:dyDescent="0.25">
      <c r="B118" s="21"/>
      <c r="C118" s="6"/>
      <c r="D118" s="6"/>
      <c r="E118" s="6"/>
      <c r="F118" s="6"/>
      <c r="G118" s="6"/>
      <c r="H118" s="6"/>
      <c r="I118" s="6"/>
      <c r="J118" s="6"/>
      <c r="K118" s="6"/>
      <c r="L118" s="6"/>
      <c r="M118" s="6"/>
      <c r="N118" s="6"/>
      <c r="O118" s="6"/>
      <c r="P118" s="6"/>
      <c r="Q118" s="6"/>
      <c r="R118" s="6"/>
      <c r="S118" s="6"/>
      <c r="T118" s="6"/>
      <c r="U118" s="6"/>
      <c r="V118" s="6"/>
      <c r="W118" s="6"/>
      <c r="X118" s="6"/>
      <c r="Y118" s="22"/>
    </row>
    <row r="119" spans="2:25" x14ac:dyDescent="0.25">
      <c r="B119" s="21"/>
      <c r="C119" s="46"/>
      <c r="D119" s="6"/>
      <c r="E119" s="6"/>
      <c r="F119" s="6"/>
      <c r="G119" s="6"/>
      <c r="L119" s="6"/>
      <c r="M119" s="6"/>
      <c r="N119" s="6"/>
      <c r="O119" s="6"/>
      <c r="P119" s="741" t="s">
        <v>245</v>
      </c>
      <c r="Q119" s="741"/>
      <c r="R119" s="6"/>
      <c r="S119" s="6"/>
      <c r="T119" s="6"/>
      <c r="U119" s="6"/>
      <c r="V119" s="6"/>
      <c r="W119" s="6"/>
      <c r="X119" s="6"/>
      <c r="Y119" s="22"/>
    </row>
    <row r="120" spans="2:25" x14ac:dyDescent="0.25">
      <c r="B120" s="21"/>
      <c r="C120" s="6"/>
      <c r="D120" s="6"/>
      <c r="E120" s="6"/>
      <c r="F120" s="6"/>
      <c r="G120" s="6"/>
      <c r="L120" s="6"/>
      <c r="M120" s="6"/>
      <c r="N120" s="6"/>
      <c r="O120" s="6"/>
      <c r="P120" s="6"/>
      <c r="Q120" s="6"/>
      <c r="R120" s="6"/>
      <c r="S120" s="6"/>
      <c r="T120" s="6"/>
      <c r="U120" s="6"/>
      <c r="V120" s="6"/>
      <c r="W120" s="6"/>
      <c r="X120" s="6"/>
      <c r="Y120" s="22"/>
    </row>
    <row r="121" spans="2:25" x14ac:dyDescent="0.25">
      <c r="B121" s="21"/>
      <c r="C121" s="86" t="s">
        <v>738</v>
      </c>
      <c r="D121" s="44"/>
      <c r="E121" s="86"/>
      <c r="F121" s="86"/>
      <c r="G121" s="86"/>
      <c r="H121" s="44"/>
      <c r="I121" s="44"/>
      <c r="J121" s="44"/>
      <c r="K121" s="44"/>
      <c r="L121" s="44"/>
      <c r="M121" s="49"/>
      <c r="N121" s="1013">
        <f>SUM(N116:O117)</f>
        <v>0</v>
      </c>
      <c r="O121" s="1013"/>
      <c r="P121" s="6"/>
      <c r="Q121" s="6"/>
      <c r="R121" s="6"/>
      <c r="S121" s="6"/>
      <c r="T121" s="6"/>
      <c r="U121" s="6"/>
      <c r="V121" s="6"/>
      <c r="W121" s="770" t="s">
        <v>723</v>
      </c>
      <c r="X121" s="770"/>
      <c r="Y121" s="22"/>
    </row>
    <row r="122" spans="2:25" x14ac:dyDescent="0.25">
      <c r="B122" s="21"/>
      <c r="C122" s="87" t="s">
        <v>739</v>
      </c>
      <c r="D122" s="88"/>
      <c r="E122" s="87"/>
      <c r="F122" s="87"/>
      <c r="G122" s="87"/>
      <c r="H122" s="88"/>
      <c r="I122" s="88"/>
      <c r="J122" s="88"/>
      <c r="K122" s="88"/>
      <c r="L122" s="88"/>
      <c r="M122" s="89"/>
      <c r="N122" s="1011">
        <f>IFERROR(N117/N121,0)</f>
        <v>0</v>
      </c>
      <c r="O122" s="1011"/>
      <c r="P122" s="880">
        <f>IF(N122&gt;=0.55,4,IF(AND(N122&lt;0.55,N122&gt;=0.45),3,IF(AND(N122&lt;0.45,N122&gt;=0.35),2,IF(AND(N122&lt;0.35,N122&gt;=0.25),1,0))))</f>
        <v>0</v>
      </c>
      <c r="Q122" s="881"/>
      <c r="R122" s="6"/>
      <c r="S122" s="6"/>
      <c r="T122" s="6"/>
      <c r="U122" s="6"/>
      <c r="V122" s="6"/>
      <c r="W122" s="771">
        <v>4</v>
      </c>
      <c r="X122" s="772"/>
      <c r="Y122" s="22"/>
    </row>
    <row r="123" spans="2:25" x14ac:dyDescent="0.25">
      <c r="B123" s="21"/>
      <c r="C123" s="6"/>
      <c r="D123" s="6"/>
      <c r="E123" s="6"/>
      <c r="F123" s="6"/>
      <c r="G123" s="6"/>
      <c r="H123" s="6"/>
      <c r="I123" s="6"/>
      <c r="J123" s="6"/>
      <c r="K123" s="6"/>
      <c r="L123" s="6"/>
      <c r="M123" s="6"/>
      <c r="N123" s="6"/>
      <c r="O123" s="6"/>
      <c r="P123" s="6"/>
      <c r="Q123" s="6"/>
      <c r="R123" s="6"/>
      <c r="S123" s="6"/>
      <c r="T123" s="6"/>
      <c r="U123" s="6"/>
      <c r="V123" s="6"/>
      <c r="W123" s="6"/>
      <c r="X123" s="6"/>
      <c r="Y123" s="22"/>
    </row>
    <row r="124" spans="2:25" x14ac:dyDescent="0.25">
      <c r="B124" s="21"/>
      <c r="C124" s="6"/>
      <c r="D124" s="6"/>
      <c r="E124" s="6"/>
      <c r="F124" s="6"/>
      <c r="G124" s="6"/>
      <c r="H124" s="6"/>
      <c r="I124" s="6"/>
      <c r="J124" s="6"/>
      <c r="K124" s="6"/>
      <c r="L124" s="6"/>
      <c r="M124" s="6"/>
      <c r="N124" s="6"/>
      <c r="O124" s="6"/>
      <c r="P124" s="6"/>
      <c r="Q124" s="6"/>
      <c r="R124" s="6"/>
      <c r="S124" s="6"/>
      <c r="T124" s="6"/>
      <c r="U124" s="6"/>
      <c r="V124" s="6"/>
      <c r="W124" s="6"/>
      <c r="X124" s="6"/>
      <c r="Y124" s="22"/>
    </row>
    <row r="125" spans="2:25" x14ac:dyDescent="0.25">
      <c r="B125" s="21"/>
      <c r="C125" s="102" t="s">
        <v>2532</v>
      </c>
      <c r="D125" s="6"/>
      <c r="E125" s="6"/>
      <c r="F125" s="6"/>
      <c r="G125" s="6"/>
      <c r="H125" s="6"/>
      <c r="I125" s="6"/>
      <c r="J125" s="6"/>
      <c r="K125" s="6"/>
      <c r="L125" s="6"/>
      <c r="M125" s="6"/>
      <c r="N125" s="6"/>
      <c r="O125" s="6"/>
      <c r="P125" s="6"/>
      <c r="Q125" s="6"/>
      <c r="R125" s="6"/>
      <c r="S125" s="6"/>
      <c r="T125" s="6"/>
      <c r="U125" s="6"/>
      <c r="V125" s="6"/>
      <c r="W125" s="6"/>
      <c r="X125" s="6"/>
      <c r="Y125" s="22"/>
    </row>
    <row r="126" spans="2:25" x14ac:dyDescent="0.25">
      <c r="B126" s="21"/>
      <c r="C126" s="757"/>
      <c r="D126" s="758"/>
      <c r="E126" s="758"/>
      <c r="F126" s="758"/>
      <c r="G126" s="758"/>
      <c r="H126" s="758"/>
      <c r="I126" s="758"/>
      <c r="J126" s="758"/>
      <c r="K126" s="758"/>
      <c r="L126" s="758"/>
      <c r="M126" s="758"/>
      <c r="N126" s="758"/>
      <c r="O126" s="758"/>
      <c r="P126" s="758"/>
      <c r="Q126" s="758"/>
      <c r="R126" s="758"/>
      <c r="S126" s="758"/>
      <c r="T126" s="758"/>
      <c r="U126" s="758"/>
      <c r="V126" s="758"/>
      <c r="W126" s="759"/>
      <c r="X126" s="6"/>
      <c r="Y126" s="22"/>
    </row>
    <row r="127" spans="2:25" x14ac:dyDescent="0.25">
      <c r="B127" s="21"/>
      <c r="C127" s="760"/>
      <c r="D127" s="761"/>
      <c r="E127" s="761"/>
      <c r="F127" s="761"/>
      <c r="G127" s="761"/>
      <c r="H127" s="761"/>
      <c r="I127" s="761"/>
      <c r="J127" s="761"/>
      <c r="K127" s="761"/>
      <c r="L127" s="761"/>
      <c r="M127" s="761"/>
      <c r="N127" s="761"/>
      <c r="O127" s="761"/>
      <c r="P127" s="761"/>
      <c r="Q127" s="761"/>
      <c r="R127" s="761"/>
      <c r="S127" s="761"/>
      <c r="T127" s="761"/>
      <c r="U127" s="761"/>
      <c r="V127" s="761"/>
      <c r="W127" s="762"/>
      <c r="X127" s="6"/>
      <c r="Y127" s="22"/>
    </row>
    <row r="128" spans="2:25" x14ac:dyDescent="0.25">
      <c r="B128" s="21"/>
      <c r="C128" s="760"/>
      <c r="D128" s="761"/>
      <c r="E128" s="761"/>
      <c r="F128" s="761"/>
      <c r="G128" s="761"/>
      <c r="H128" s="761"/>
      <c r="I128" s="761"/>
      <c r="J128" s="761"/>
      <c r="K128" s="761"/>
      <c r="L128" s="761"/>
      <c r="M128" s="761"/>
      <c r="N128" s="761"/>
      <c r="O128" s="761"/>
      <c r="P128" s="761"/>
      <c r="Q128" s="761"/>
      <c r="R128" s="761"/>
      <c r="S128" s="761"/>
      <c r="T128" s="761"/>
      <c r="U128" s="761"/>
      <c r="V128" s="761"/>
      <c r="W128" s="762"/>
      <c r="X128" s="6"/>
      <c r="Y128" s="22"/>
    </row>
    <row r="129" spans="2:25" x14ac:dyDescent="0.25">
      <c r="B129" s="21"/>
      <c r="C129" s="760"/>
      <c r="D129" s="761"/>
      <c r="E129" s="761"/>
      <c r="F129" s="761"/>
      <c r="G129" s="761"/>
      <c r="H129" s="761"/>
      <c r="I129" s="761"/>
      <c r="J129" s="761"/>
      <c r="K129" s="761"/>
      <c r="L129" s="761"/>
      <c r="M129" s="761"/>
      <c r="N129" s="761"/>
      <c r="O129" s="761"/>
      <c r="P129" s="761"/>
      <c r="Q129" s="761"/>
      <c r="R129" s="761"/>
      <c r="S129" s="761"/>
      <c r="T129" s="761"/>
      <c r="U129" s="761"/>
      <c r="V129" s="761"/>
      <c r="W129" s="762"/>
      <c r="X129" s="6"/>
      <c r="Y129" s="22"/>
    </row>
    <row r="130" spans="2:25" x14ac:dyDescent="0.25">
      <c r="B130" s="21"/>
      <c r="C130" s="763"/>
      <c r="D130" s="764"/>
      <c r="E130" s="764"/>
      <c r="F130" s="764"/>
      <c r="G130" s="764"/>
      <c r="H130" s="764"/>
      <c r="I130" s="764"/>
      <c r="J130" s="764"/>
      <c r="K130" s="764"/>
      <c r="L130" s="764"/>
      <c r="M130" s="764"/>
      <c r="N130" s="764"/>
      <c r="O130" s="764"/>
      <c r="P130" s="764"/>
      <c r="Q130" s="764"/>
      <c r="R130" s="764"/>
      <c r="S130" s="764"/>
      <c r="T130" s="764"/>
      <c r="U130" s="764"/>
      <c r="V130" s="764"/>
      <c r="W130" s="765"/>
      <c r="X130" s="6"/>
      <c r="Y130" s="22"/>
    </row>
    <row r="131" spans="2:25" x14ac:dyDescent="0.25">
      <c r="B131" s="21"/>
      <c r="C131" s="6"/>
      <c r="D131" s="6"/>
      <c r="E131" s="6"/>
      <c r="F131" s="6"/>
      <c r="G131" s="6"/>
      <c r="H131" s="6"/>
      <c r="I131" s="6"/>
      <c r="J131" s="6"/>
      <c r="K131" s="6"/>
      <c r="L131" s="6"/>
      <c r="M131" s="6"/>
      <c r="N131" s="6"/>
      <c r="O131" s="6"/>
      <c r="P131" s="6"/>
      <c r="Q131" s="6"/>
      <c r="R131" s="6"/>
      <c r="S131" s="6"/>
      <c r="T131" s="6"/>
      <c r="U131" s="6"/>
      <c r="V131" s="6"/>
      <c r="W131" s="6"/>
      <c r="X131" s="6"/>
      <c r="Y131" s="22"/>
    </row>
    <row r="132" spans="2:25" ht="15.75" thickBot="1" x14ac:dyDescent="0.3">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6"/>
    </row>
    <row r="135" spans="2:25" ht="15.75" thickBot="1" x14ac:dyDescent="0.3"/>
    <row r="136" spans="2:25" x14ac:dyDescent="0.25">
      <c r="B136" s="18"/>
      <c r="C136" s="19"/>
      <c r="D136" s="19"/>
      <c r="E136" s="19"/>
      <c r="F136" s="19"/>
      <c r="G136" s="19"/>
      <c r="H136" s="19"/>
      <c r="I136" s="19"/>
      <c r="J136" s="19"/>
      <c r="K136" s="19"/>
      <c r="L136" s="19"/>
      <c r="M136" s="19"/>
      <c r="N136" s="19"/>
      <c r="O136" s="19"/>
      <c r="P136" s="19"/>
      <c r="Q136" s="19"/>
      <c r="R136" s="19"/>
      <c r="S136" s="19"/>
      <c r="T136" s="19"/>
      <c r="U136" s="19"/>
      <c r="V136" s="19"/>
      <c r="W136" s="19"/>
      <c r="X136" s="19"/>
      <c r="Y136" s="20"/>
    </row>
    <row r="137" spans="2:25" x14ac:dyDescent="0.25">
      <c r="B137" s="21"/>
      <c r="C137" s="6"/>
      <c r="D137" s="6"/>
      <c r="E137" s="6"/>
      <c r="F137" s="6"/>
      <c r="G137" s="6"/>
      <c r="H137" s="6"/>
      <c r="I137" s="6"/>
      <c r="J137" s="6"/>
      <c r="K137" s="6"/>
      <c r="L137" s="6"/>
      <c r="M137" s="6"/>
      <c r="N137" s="6"/>
      <c r="O137" s="6"/>
      <c r="P137" s="6"/>
      <c r="Q137" s="6"/>
      <c r="R137" s="6"/>
      <c r="S137" s="6"/>
      <c r="T137" s="6"/>
      <c r="U137" s="6"/>
      <c r="V137" s="6"/>
      <c r="W137" s="6"/>
      <c r="X137" s="6"/>
      <c r="Y137" s="22"/>
    </row>
    <row r="138" spans="2:25" x14ac:dyDescent="0.25">
      <c r="B138" s="21"/>
      <c r="C138" s="102" t="s">
        <v>337</v>
      </c>
      <c r="D138" s="6"/>
      <c r="E138" s="6"/>
      <c r="F138" s="6"/>
      <c r="G138" s="6"/>
      <c r="H138" s="6"/>
      <c r="I138" s="6"/>
      <c r="J138" s="6"/>
      <c r="K138" s="6"/>
      <c r="L138" s="6"/>
      <c r="M138" s="6"/>
      <c r="N138" s="6"/>
      <c r="O138" s="6"/>
      <c r="P138" s="6"/>
      <c r="Q138" s="6"/>
      <c r="R138" s="6"/>
      <c r="S138" s="6"/>
      <c r="T138" s="6"/>
      <c r="U138" s="6"/>
      <c r="V138" s="6"/>
      <c r="W138" s="6"/>
      <c r="X138" s="6"/>
      <c r="Y138" s="22"/>
    </row>
    <row r="139" spans="2:25" x14ac:dyDescent="0.25">
      <c r="B139" s="21"/>
      <c r="C139" s="6"/>
      <c r="D139" s="46" t="s">
        <v>338</v>
      </c>
      <c r="E139" s="6"/>
      <c r="F139" s="6"/>
      <c r="G139" s="6"/>
      <c r="H139" s="6"/>
      <c r="I139" s="6"/>
      <c r="J139" s="6"/>
      <c r="K139" s="742" t="s">
        <v>2605</v>
      </c>
      <c r="L139" s="742"/>
      <c r="M139" s="742"/>
      <c r="N139" s="742"/>
      <c r="O139" s="6"/>
      <c r="P139" s="6"/>
      <c r="Q139" s="6"/>
      <c r="R139" s="6"/>
      <c r="S139" s="6"/>
      <c r="T139" s="6"/>
      <c r="U139" s="6"/>
      <c r="V139" s="6"/>
      <c r="W139" s="6"/>
      <c r="X139" s="6"/>
      <c r="Y139" s="22"/>
    </row>
    <row r="140" spans="2:25" x14ac:dyDescent="0.25">
      <c r="B140" s="21"/>
      <c r="C140" s="6"/>
      <c r="D140" s="6"/>
      <c r="E140" s="51" t="s">
        <v>604</v>
      </c>
      <c r="F140" s="51"/>
      <c r="G140" s="51"/>
      <c r="H140" s="51"/>
      <c r="I140" s="51"/>
      <c r="J140" s="51"/>
      <c r="K140" s="47"/>
      <c r="L140" s="904"/>
      <c r="M140" s="904"/>
      <c r="N140" s="6"/>
      <c r="O140" s="173" t="str">
        <f>IF(L140&gt;$N$161,"Attention : surface saisie &gt; surfaces cultures principales grandes cultures","")</f>
        <v/>
      </c>
      <c r="P140" s="6"/>
      <c r="Q140" s="6"/>
      <c r="R140" s="6"/>
      <c r="S140" s="6"/>
      <c r="T140" s="6"/>
      <c r="U140" s="6"/>
      <c r="V140" s="6"/>
      <c r="W140" s="6"/>
      <c r="X140" s="6"/>
      <c r="Y140" s="22"/>
    </row>
    <row r="141" spans="2:25" x14ac:dyDescent="0.25">
      <c r="B141" s="21"/>
      <c r="C141" s="6"/>
      <c r="D141" s="6"/>
      <c r="E141" s="52" t="s">
        <v>605</v>
      </c>
      <c r="F141" s="52"/>
      <c r="G141" s="52"/>
      <c r="H141" s="52"/>
      <c r="I141" s="52"/>
      <c r="J141" s="52"/>
      <c r="K141" s="48"/>
      <c r="L141" s="904"/>
      <c r="M141" s="904"/>
      <c r="N141" s="6"/>
      <c r="O141" s="173" t="str">
        <f t="shared" ref="O141:O142" si="0">IF(L141&gt;$N$161,"Attention : surface saisie &gt; surfaces cultures principales grandes cultures","")</f>
        <v/>
      </c>
      <c r="P141" s="6"/>
      <c r="Q141" s="6"/>
      <c r="R141" s="6"/>
      <c r="S141" s="6"/>
      <c r="T141" s="6"/>
      <c r="U141" s="6"/>
      <c r="V141" s="6"/>
      <c r="W141" s="6"/>
      <c r="X141" s="6"/>
      <c r="Y141" s="22"/>
    </row>
    <row r="142" spans="2:25" x14ac:dyDescent="0.25">
      <c r="B142" s="21"/>
      <c r="C142" s="6"/>
      <c r="D142" s="6"/>
      <c r="E142" s="52" t="s">
        <v>339</v>
      </c>
      <c r="F142" s="52"/>
      <c r="G142" s="52"/>
      <c r="H142" s="52"/>
      <c r="I142" s="52"/>
      <c r="J142" s="52"/>
      <c r="K142" s="48"/>
      <c r="L142" s="904"/>
      <c r="M142" s="904"/>
      <c r="N142" s="6"/>
      <c r="O142" s="173" t="str">
        <f t="shared" si="0"/>
        <v/>
      </c>
      <c r="P142" s="6"/>
      <c r="Q142" s="6"/>
      <c r="R142" s="6"/>
      <c r="S142" s="6"/>
      <c r="T142" s="6"/>
      <c r="U142" s="6"/>
      <c r="V142" s="6"/>
      <c r="W142" s="6"/>
      <c r="X142" s="6"/>
      <c r="Y142" s="22"/>
    </row>
    <row r="143" spans="2:25" x14ac:dyDescent="0.25">
      <c r="B143" s="21"/>
      <c r="C143" s="6"/>
      <c r="D143" s="6"/>
      <c r="E143" s="52" t="s">
        <v>606</v>
      </c>
      <c r="F143" s="52"/>
      <c r="G143" s="52"/>
      <c r="H143" s="52"/>
      <c r="I143" s="52"/>
      <c r="J143" s="52"/>
      <c r="K143" s="48"/>
      <c r="L143" s="904"/>
      <c r="M143" s="904"/>
      <c r="N143" s="6"/>
      <c r="O143" s="173" t="str">
        <f>IF(L143&gt;N160,"Attention : surface saisie &gt; surface en blé","")</f>
        <v/>
      </c>
      <c r="P143" s="6"/>
      <c r="Q143" s="6"/>
      <c r="R143" s="6"/>
      <c r="S143" s="6"/>
      <c r="T143" s="6"/>
      <c r="U143" s="6"/>
      <c r="V143" s="6"/>
      <c r="W143" s="6"/>
      <c r="X143" s="6"/>
      <c r="Y143" s="22"/>
    </row>
    <row r="144" spans="2:25" x14ac:dyDescent="0.25">
      <c r="B144" s="21"/>
      <c r="C144" s="6"/>
      <c r="D144" s="6"/>
      <c r="E144" s="6"/>
      <c r="F144" s="6"/>
      <c r="G144" s="6"/>
      <c r="H144" s="6"/>
      <c r="I144" s="6"/>
      <c r="J144" s="6"/>
      <c r="K144" s="6"/>
      <c r="L144" s="6"/>
      <c r="M144" s="6"/>
      <c r="N144" s="6"/>
      <c r="O144" s="6"/>
      <c r="P144" s="6"/>
      <c r="Q144" s="6"/>
      <c r="R144" s="6"/>
      <c r="S144" s="6"/>
      <c r="T144" s="6"/>
      <c r="U144" s="6"/>
      <c r="V144" s="6"/>
      <c r="W144" s="6"/>
      <c r="X144" s="6"/>
      <c r="Y144" s="22"/>
    </row>
    <row r="145" spans="2:25" x14ac:dyDescent="0.25">
      <c r="B145" s="21"/>
      <c r="C145" s="6"/>
      <c r="D145" s="46" t="s">
        <v>341</v>
      </c>
      <c r="E145" s="6"/>
      <c r="F145" s="6"/>
      <c r="G145" s="6"/>
      <c r="H145" s="6"/>
      <c r="I145" s="6"/>
      <c r="J145" s="6"/>
      <c r="K145" s="6"/>
      <c r="L145" s="6"/>
      <c r="M145" s="6"/>
      <c r="N145" s="6"/>
      <c r="O145" s="6"/>
      <c r="P145" s="6"/>
      <c r="Q145" s="6"/>
      <c r="R145" s="6"/>
      <c r="S145" s="6"/>
      <c r="T145" s="6"/>
      <c r="U145" s="6"/>
      <c r="V145" s="6"/>
      <c r="W145" s="6"/>
      <c r="X145" s="6"/>
      <c r="Y145" s="22"/>
    </row>
    <row r="146" spans="2:25" x14ac:dyDescent="0.25">
      <c r="B146" s="21"/>
      <c r="C146" s="6"/>
      <c r="D146" s="6"/>
      <c r="E146" s="51" t="s">
        <v>604</v>
      </c>
      <c r="F146" s="51"/>
      <c r="G146" s="51"/>
      <c r="H146" s="51"/>
      <c r="I146" s="51"/>
      <c r="J146" s="51"/>
      <c r="K146" s="47"/>
      <c r="L146" s="904"/>
      <c r="M146" s="904"/>
      <c r="N146" s="6"/>
      <c r="O146" s="222" t="str">
        <f>IF(L146&gt;$N$162,"Attention : surface saisie &gt; surface cultures principales vigne, arboriculture, maraîchage","")</f>
        <v/>
      </c>
      <c r="P146" s="42"/>
      <c r="Q146" s="42"/>
      <c r="R146" s="42"/>
      <c r="S146" s="42"/>
      <c r="T146" s="42"/>
      <c r="U146" s="42"/>
      <c r="V146" s="42"/>
      <c r="W146" s="6"/>
      <c r="X146" s="6"/>
      <c r="Y146" s="22"/>
    </row>
    <row r="147" spans="2:25" x14ac:dyDescent="0.25">
      <c r="B147" s="21"/>
      <c r="C147" s="6"/>
      <c r="D147" s="6"/>
      <c r="E147" s="52" t="s">
        <v>605</v>
      </c>
      <c r="F147" s="52"/>
      <c r="G147" s="52"/>
      <c r="H147" s="52"/>
      <c r="I147" s="52"/>
      <c r="J147" s="52"/>
      <c r="K147" s="48"/>
      <c r="L147" s="904"/>
      <c r="M147" s="904"/>
      <c r="N147" s="6"/>
      <c r="O147" s="173" t="str">
        <f t="shared" ref="O147:O148" si="1">IF(L147&gt;$N$162,"Attention : surface saisie &gt; surface cultures principales vigne, arboriculture, maraîchage","")</f>
        <v/>
      </c>
      <c r="P147" s="6"/>
      <c r="Q147" s="6"/>
      <c r="R147" s="6"/>
      <c r="S147" s="6"/>
      <c r="T147" s="6"/>
      <c r="U147" s="6"/>
      <c r="V147" s="6"/>
      <c r="W147" s="6"/>
      <c r="X147" s="6"/>
      <c r="Y147" s="22"/>
    </row>
    <row r="148" spans="2:25" x14ac:dyDescent="0.25">
      <c r="B148" s="21"/>
      <c r="C148" s="6"/>
      <c r="D148" s="6"/>
      <c r="E148" s="52" t="s">
        <v>339</v>
      </c>
      <c r="F148" s="52"/>
      <c r="G148" s="52"/>
      <c r="H148" s="52"/>
      <c r="I148" s="52"/>
      <c r="J148" s="52"/>
      <c r="K148" s="48"/>
      <c r="L148" s="904"/>
      <c r="M148" s="904"/>
      <c r="N148" s="6"/>
      <c r="O148" s="173" t="str">
        <f t="shared" si="1"/>
        <v/>
      </c>
      <c r="P148" s="6"/>
      <c r="Q148" s="6"/>
      <c r="R148" s="6"/>
      <c r="S148" s="6"/>
      <c r="T148" s="6"/>
      <c r="U148" s="6"/>
      <c r="V148" s="6"/>
      <c r="W148" s="6"/>
      <c r="X148" s="6"/>
      <c r="Y148" s="22"/>
    </row>
    <row r="149" spans="2:25" x14ac:dyDescent="0.25">
      <c r="B149" s="21"/>
      <c r="C149" s="6"/>
      <c r="D149" s="6"/>
      <c r="E149" s="6"/>
      <c r="F149" s="6"/>
      <c r="G149" s="6"/>
      <c r="H149" s="6"/>
      <c r="I149" s="6"/>
      <c r="J149" s="6"/>
      <c r="K149" s="6"/>
      <c r="L149" s="6"/>
      <c r="M149" s="6"/>
      <c r="N149" s="6"/>
      <c r="O149" s="6"/>
      <c r="P149" s="6"/>
      <c r="Q149" s="6"/>
      <c r="R149" s="6"/>
      <c r="S149" s="6"/>
      <c r="T149" s="6"/>
      <c r="U149" s="6"/>
      <c r="V149" s="6"/>
      <c r="W149" s="6"/>
      <c r="X149" s="6"/>
      <c r="Y149" s="22"/>
    </row>
    <row r="150" spans="2:25" x14ac:dyDescent="0.25">
      <c r="B150" s="21"/>
      <c r="C150" s="102" t="s">
        <v>342</v>
      </c>
      <c r="D150" s="6"/>
      <c r="E150" s="6"/>
      <c r="F150" s="6"/>
      <c r="G150" s="6"/>
      <c r="H150" s="6"/>
      <c r="I150" s="6"/>
      <c r="J150" s="6"/>
      <c r="K150" s="742" t="s">
        <v>2605</v>
      </c>
      <c r="L150" s="742"/>
      <c r="M150" s="742"/>
      <c r="N150" s="742"/>
      <c r="O150" s="6"/>
      <c r="P150" s="6"/>
      <c r="Q150" s="6"/>
      <c r="R150" s="6"/>
      <c r="S150" s="6"/>
      <c r="T150" s="6"/>
      <c r="U150" s="6"/>
      <c r="V150" s="6"/>
      <c r="W150" s="6"/>
      <c r="X150" s="6"/>
      <c r="Y150" s="22"/>
    </row>
    <row r="151" spans="2:25" x14ac:dyDescent="0.25">
      <c r="B151" s="21"/>
      <c r="C151" s="6"/>
      <c r="D151" s="51" t="s">
        <v>744</v>
      </c>
      <c r="E151" s="51"/>
      <c r="F151" s="51"/>
      <c r="G151" s="51"/>
      <c r="H151" s="51"/>
      <c r="I151" s="51"/>
      <c r="J151" s="51"/>
      <c r="K151" s="47"/>
      <c r="L151" s="904"/>
      <c r="M151" s="904"/>
      <c r="N151" s="6"/>
      <c r="O151" s="173" t="str">
        <f>IF(L151&gt;$N$163,"Attention : surface saisie &gt; surface en cultures mineures","")</f>
        <v/>
      </c>
      <c r="P151" s="6"/>
      <c r="Q151" s="6"/>
      <c r="R151" s="6"/>
      <c r="S151" s="6"/>
      <c r="T151" s="6"/>
      <c r="U151" s="6"/>
      <c r="V151" s="6"/>
      <c r="W151" s="6"/>
      <c r="X151" s="6"/>
      <c r="Y151" s="22"/>
    </row>
    <row r="152" spans="2:25" x14ac:dyDescent="0.25">
      <c r="B152" s="21"/>
      <c r="C152" s="6"/>
      <c r="D152" s="52" t="s">
        <v>743</v>
      </c>
      <c r="E152" s="52"/>
      <c r="F152" s="52"/>
      <c r="G152" s="52"/>
      <c r="H152" s="52"/>
      <c r="I152" s="52"/>
      <c r="J152" s="52"/>
      <c r="K152" s="48"/>
      <c r="L152" s="904"/>
      <c r="M152" s="904"/>
      <c r="N152" s="6"/>
      <c r="O152" s="173" t="str">
        <f>IF(L152&gt;$N$163,"Attention : surface saisie &gt; surface en cultures mineures","")</f>
        <v/>
      </c>
      <c r="P152" s="6"/>
      <c r="Q152" s="6"/>
      <c r="R152" s="6"/>
      <c r="S152" s="6"/>
      <c r="T152" s="6"/>
      <c r="U152" s="6"/>
      <c r="V152" s="6"/>
      <c r="W152" s="6"/>
      <c r="X152" s="6"/>
      <c r="Y152" s="22"/>
    </row>
    <row r="153" spans="2:25" x14ac:dyDescent="0.25">
      <c r="B153" s="21"/>
      <c r="C153" s="6"/>
      <c r="D153" s="6"/>
      <c r="E153" s="6"/>
      <c r="F153" s="6"/>
      <c r="G153" s="6"/>
      <c r="H153" s="6"/>
      <c r="I153" s="6"/>
      <c r="J153" s="6"/>
      <c r="K153" s="6"/>
      <c r="L153" s="6"/>
      <c r="M153" s="6"/>
      <c r="N153" s="6"/>
      <c r="O153" s="6"/>
      <c r="P153" s="6"/>
      <c r="Q153" s="6"/>
      <c r="R153" s="6"/>
      <c r="S153" s="6"/>
      <c r="T153" s="6"/>
      <c r="U153" s="6"/>
      <c r="V153" s="6"/>
      <c r="W153" s="6"/>
      <c r="X153" s="6"/>
      <c r="Y153" s="22"/>
    </row>
    <row r="154" spans="2:25" x14ac:dyDescent="0.25">
      <c r="B154" s="21"/>
      <c r="C154" s="6"/>
      <c r="D154" s="6"/>
      <c r="E154" s="6"/>
      <c r="F154" s="6"/>
      <c r="G154" s="6"/>
      <c r="H154" s="6"/>
      <c r="I154" s="6"/>
      <c r="J154" s="6"/>
      <c r="K154" s="6"/>
      <c r="L154" s="6"/>
      <c r="M154" s="6"/>
      <c r="N154" s="6"/>
      <c r="O154" s="6"/>
      <c r="P154" s="6"/>
      <c r="Q154" s="6"/>
      <c r="R154" s="6"/>
      <c r="S154" s="6"/>
      <c r="T154" s="6"/>
      <c r="U154" s="6"/>
      <c r="V154" s="6"/>
      <c r="W154" s="6"/>
      <c r="X154" s="6"/>
      <c r="Y154" s="22"/>
    </row>
    <row r="155" spans="2:25" x14ac:dyDescent="0.25">
      <c r="B155" s="21"/>
      <c r="C155" s="6"/>
      <c r="D155" s="6"/>
      <c r="E155" s="6"/>
      <c r="F155" s="6"/>
      <c r="G155" s="6"/>
      <c r="H155" s="6"/>
      <c r="I155" s="6"/>
      <c r="J155" s="6"/>
      <c r="K155" s="6"/>
      <c r="L155" s="6"/>
      <c r="M155" s="6"/>
      <c r="N155" s="6"/>
      <c r="O155" s="6"/>
      <c r="P155" s="6"/>
      <c r="Q155" s="6"/>
      <c r="R155" s="6"/>
      <c r="S155" s="6"/>
      <c r="T155" s="6"/>
      <c r="U155" s="6"/>
      <c r="V155" s="6"/>
      <c r="W155" s="6"/>
      <c r="X155" s="6"/>
      <c r="Y155" s="22"/>
    </row>
    <row r="156" spans="2:25" x14ac:dyDescent="0.25">
      <c r="B156" s="21"/>
      <c r="C156" s="46"/>
      <c r="D156" s="6"/>
      <c r="E156" s="6"/>
      <c r="F156" s="6"/>
      <c r="G156" s="6"/>
      <c r="H156" s="6"/>
      <c r="I156" s="6"/>
      <c r="J156" s="6"/>
      <c r="K156" s="6"/>
      <c r="L156" s="6"/>
      <c r="M156" s="6"/>
      <c r="P156" s="741" t="s">
        <v>245</v>
      </c>
      <c r="Q156" s="741"/>
      <c r="R156" s="6"/>
      <c r="S156" s="6"/>
      <c r="T156" s="6"/>
      <c r="U156" s="6"/>
      <c r="V156" s="6"/>
      <c r="W156" s="6"/>
      <c r="X156" s="6"/>
      <c r="Y156" s="22"/>
    </row>
    <row r="157" spans="2:25" x14ac:dyDescent="0.25">
      <c r="B157" s="21"/>
      <c r="C157" s="46"/>
      <c r="D157" s="6"/>
      <c r="E157" s="6"/>
      <c r="F157" s="6"/>
      <c r="G157" s="6"/>
      <c r="H157" s="6"/>
      <c r="I157" s="6"/>
      <c r="J157" s="6"/>
      <c r="K157" s="6"/>
      <c r="L157" s="6"/>
      <c r="M157" s="6"/>
      <c r="N157" s="109"/>
      <c r="O157" s="109"/>
      <c r="P157" s="6"/>
      <c r="Q157" s="6"/>
      <c r="R157" s="6"/>
      <c r="S157" s="6"/>
      <c r="T157" s="6"/>
      <c r="U157" s="6"/>
      <c r="V157" s="6"/>
      <c r="W157" s="6"/>
      <c r="X157" s="6"/>
      <c r="Y157" s="22"/>
    </row>
    <row r="158" spans="2:25" x14ac:dyDescent="0.25">
      <c r="B158" s="21"/>
      <c r="C158" s="75" t="s">
        <v>2403</v>
      </c>
      <c r="D158" s="6"/>
      <c r="E158" s="6"/>
      <c r="F158" s="6"/>
      <c r="G158" s="6"/>
      <c r="H158" s="6"/>
      <c r="I158" s="6"/>
      <c r="J158" s="6"/>
      <c r="K158" s="6"/>
      <c r="L158" s="6"/>
      <c r="M158" s="6"/>
      <c r="N158" s="474"/>
      <c r="O158" s="474"/>
      <c r="P158" s="6"/>
      <c r="Q158" s="6"/>
      <c r="R158" s="6"/>
      <c r="S158" s="6"/>
      <c r="T158" s="6"/>
      <c r="U158" s="6"/>
      <c r="V158" s="6"/>
      <c r="W158" s="6"/>
      <c r="X158" s="6"/>
      <c r="Y158" s="22"/>
    </row>
    <row r="159" spans="2:25" x14ac:dyDescent="0.25">
      <c r="B159" s="21"/>
      <c r="C159" s="6"/>
      <c r="D159" s="86" t="s">
        <v>304</v>
      </c>
      <c r="E159" s="86"/>
      <c r="F159" s="86"/>
      <c r="G159" s="86"/>
      <c r="H159" s="86"/>
      <c r="I159" s="86"/>
      <c r="J159" s="86"/>
      <c r="K159" s="86"/>
      <c r="L159" s="44"/>
      <c r="M159" s="49"/>
      <c r="N159" s="896">
        <f>Surfaces!O24</f>
        <v>10</v>
      </c>
      <c r="O159" s="1013"/>
      <c r="P159" s="6"/>
      <c r="Q159" s="6"/>
      <c r="R159" s="6"/>
      <c r="S159" s="6"/>
      <c r="X159" s="6"/>
      <c r="Y159" s="22"/>
    </row>
    <row r="160" spans="2:25" x14ac:dyDescent="0.25">
      <c r="B160" s="21"/>
      <c r="C160" s="6"/>
      <c r="D160" s="87" t="s">
        <v>459</v>
      </c>
      <c r="E160" s="87"/>
      <c r="F160" s="87"/>
      <c r="G160" s="87"/>
      <c r="H160" s="87"/>
      <c r="I160" s="87"/>
      <c r="J160" s="87"/>
      <c r="K160" s="87"/>
      <c r="L160" s="88"/>
      <c r="M160" s="89"/>
      <c r="N160" s="896">
        <f>Surfaces!O77+Surfaces!O78</f>
        <v>10</v>
      </c>
      <c r="O160" s="1013"/>
      <c r="P160" s="6"/>
      <c r="Q160" s="6"/>
      <c r="R160" s="6"/>
      <c r="S160" s="6"/>
      <c r="X160" s="6"/>
      <c r="Y160" s="22"/>
    </row>
    <row r="161" spans="2:25" x14ac:dyDescent="0.25">
      <c r="B161" s="21"/>
      <c r="C161" s="6"/>
      <c r="D161" s="87" t="s">
        <v>2404</v>
      </c>
      <c r="E161" s="87"/>
      <c r="F161" s="87"/>
      <c r="G161" s="87"/>
      <c r="H161" s="87"/>
      <c r="I161" s="87"/>
      <c r="J161" s="87"/>
      <c r="K161" s="87"/>
      <c r="L161" s="88"/>
      <c r="M161" s="89"/>
      <c r="N161" s="904"/>
      <c r="O161" s="1018"/>
      <c r="P161" s="6"/>
      <c r="Q161" s="173" t="str">
        <f>IF(SUM(N161:O163)&gt;$N$159,"Attention : surface cultures principales + cultures mineures &gt; SAU","")</f>
        <v/>
      </c>
      <c r="R161" s="6"/>
      <c r="S161" s="6"/>
      <c r="X161" s="6"/>
      <c r="Y161" s="22"/>
    </row>
    <row r="162" spans="2:25" x14ac:dyDescent="0.25">
      <c r="B162" s="21"/>
      <c r="C162" s="6"/>
      <c r="D162" s="87" t="s">
        <v>610</v>
      </c>
      <c r="E162" s="87"/>
      <c r="F162" s="87"/>
      <c r="G162" s="87"/>
      <c r="H162" s="87"/>
      <c r="I162" s="87"/>
      <c r="J162" s="87"/>
      <c r="K162" s="87"/>
      <c r="L162" s="88"/>
      <c r="M162" s="89"/>
      <c r="N162" s="882"/>
      <c r="O162" s="883"/>
      <c r="P162" s="6"/>
      <c r="Q162" s="173" t="str">
        <f>IF(SUM(N161:O163)&gt;$N$159,"Attention : surface cultures principales + cultures mineures &gt; SAU","")</f>
        <v/>
      </c>
      <c r="R162" s="6"/>
      <c r="S162" s="6"/>
      <c r="X162" s="6"/>
      <c r="Y162" s="22"/>
    </row>
    <row r="163" spans="2:25" x14ac:dyDescent="0.25">
      <c r="B163" s="21"/>
      <c r="C163" s="6"/>
      <c r="D163" s="87" t="s">
        <v>609</v>
      </c>
      <c r="E163" s="87"/>
      <c r="F163" s="87"/>
      <c r="G163" s="87"/>
      <c r="H163" s="87"/>
      <c r="I163" s="87"/>
      <c r="J163" s="87"/>
      <c r="K163" s="87"/>
      <c r="L163" s="88"/>
      <c r="M163" s="89"/>
      <c r="N163" s="896">
        <f>M58</f>
        <v>0</v>
      </c>
      <c r="O163" s="1013"/>
      <c r="P163" s="6"/>
      <c r="Q163" s="173" t="str">
        <f>IF(SUM(N161:O163)&gt;$N$159,"Attention : surface cultures principales + cultures mineures &gt; SAU","")</f>
        <v/>
      </c>
      <c r="R163" s="6"/>
      <c r="S163" s="6"/>
      <c r="X163" s="6"/>
      <c r="Y163" s="22"/>
    </row>
    <row r="164" spans="2:25" x14ac:dyDescent="0.25">
      <c r="B164" s="21"/>
      <c r="C164" s="6"/>
      <c r="D164" s="70"/>
      <c r="E164" s="70"/>
      <c r="F164" s="70"/>
      <c r="G164" s="70"/>
      <c r="H164" s="70"/>
      <c r="I164" s="70"/>
      <c r="J164" s="70"/>
      <c r="K164" s="70"/>
      <c r="L164" s="6"/>
      <c r="M164" s="6"/>
      <c r="N164" s="667" t="s">
        <v>2889</v>
      </c>
      <c r="O164" s="210"/>
      <c r="P164" s="6"/>
      <c r="Q164" s="6"/>
      <c r="R164" s="6"/>
      <c r="S164" s="6"/>
      <c r="X164" s="6"/>
      <c r="Y164" s="22"/>
    </row>
    <row r="165" spans="2:25" x14ac:dyDescent="0.25">
      <c r="B165" s="21"/>
      <c r="C165" s="6"/>
      <c r="D165" s="70"/>
      <c r="E165" s="70"/>
      <c r="F165" s="70"/>
      <c r="G165" s="70"/>
      <c r="H165" s="70"/>
      <c r="I165" s="70"/>
      <c r="J165" s="70"/>
      <c r="K165" s="70"/>
      <c r="L165" s="6"/>
      <c r="M165" s="6"/>
      <c r="N165" s="185"/>
      <c r="O165" s="210"/>
      <c r="P165" s="6"/>
      <c r="Q165" s="6"/>
      <c r="R165" s="6"/>
      <c r="S165" s="6"/>
      <c r="X165" s="6"/>
      <c r="Y165" s="22"/>
    </row>
    <row r="166" spans="2:25" x14ac:dyDescent="0.25">
      <c r="B166" s="21"/>
      <c r="C166" s="75" t="s">
        <v>337</v>
      </c>
      <c r="D166" s="70"/>
      <c r="E166" s="70"/>
      <c r="F166" s="70"/>
      <c r="G166" s="70"/>
      <c r="H166" s="70"/>
      <c r="I166" s="70"/>
      <c r="J166" s="70"/>
      <c r="K166" s="70"/>
      <c r="L166" s="6"/>
      <c r="M166" s="6"/>
      <c r="N166" s="185"/>
      <c r="O166" s="210"/>
      <c r="P166" s="6"/>
      <c r="Q166" s="6"/>
      <c r="R166" s="6"/>
      <c r="S166" s="6"/>
      <c r="X166" s="6"/>
      <c r="Y166" s="22"/>
    </row>
    <row r="167" spans="2:25" x14ac:dyDescent="0.25">
      <c r="B167" s="21"/>
      <c r="D167" s="46" t="s">
        <v>338</v>
      </c>
      <c r="E167" s="91"/>
      <c r="F167" s="91"/>
      <c r="G167" s="91"/>
      <c r="H167" s="91"/>
      <c r="I167" s="91"/>
      <c r="J167" s="91"/>
      <c r="K167" s="91"/>
      <c r="N167" s="211"/>
      <c r="O167" s="211"/>
      <c r="P167" s="6"/>
      <c r="Q167" s="6"/>
      <c r="R167" s="6"/>
      <c r="S167" s="6"/>
      <c r="X167" s="6"/>
      <c r="Y167" s="22"/>
    </row>
    <row r="168" spans="2:25" x14ac:dyDescent="0.25">
      <c r="B168" s="21"/>
      <c r="D168" s="6"/>
      <c r="E168" s="86" t="s">
        <v>2405</v>
      </c>
      <c r="F168" s="86"/>
      <c r="G168" s="86"/>
      <c r="H168" s="86"/>
      <c r="I168" s="86"/>
      <c r="J168" s="86"/>
      <c r="K168" s="86"/>
      <c r="L168" s="44"/>
      <c r="M168" s="49"/>
      <c r="N168" s="1013" t="str">
        <f>IF(L140&gt;0,"Oui","Non")</f>
        <v>Non</v>
      </c>
      <c r="O168" s="1013"/>
      <c r="P168" s="976">
        <f>IF(N168="Oui",1,0)</f>
        <v>0</v>
      </c>
      <c r="Q168" s="899"/>
      <c r="R168" s="6"/>
      <c r="S168" s="6"/>
      <c r="X168" s="6"/>
      <c r="Y168" s="22"/>
    </row>
    <row r="169" spans="2:25" x14ac:dyDescent="0.25">
      <c r="B169" s="21"/>
      <c r="D169" s="6"/>
      <c r="E169" s="87" t="s">
        <v>2587</v>
      </c>
      <c r="F169" s="87"/>
      <c r="G169" s="87"/>
      <c r="H169" s="87"/>
      <c r="I169" s="87"/>
      <c r="J169" s="87"/>
      <c r="K169" s="87"/>
      <c r="L169" s="88"/>
      <c r="M169" s="89"/>
      <c r="N169" s="1011">
        <f>IFERROR(L141/(N161),0)</f>
        <v>0</v>
      </c>
      <c r="O169" s="1011"/>
      <c r="P169" s="976">
        <f>IF(AND(N168="Oui",N169&gt;=0.5),1,0)</f>
        <v>0</v>
      </c>
      <c r="Q169" s="899"/>
      <c r="R169" s="6"/>
      <c r="S169" s="6"/>
      <c r="X169" s="6"/>
      <c r="Y169" s="22"/>
    </row>
    <row r="170" spans="2:25" x14ac:dyDescent="0.25">
      <c r="B170" s="21"/>
      <c r="D170" s="6"/>
      <c r="E170" s="87" t="s">
        <v>607</v>
      </c>
      <c r="F170" s="87"/>
      <c r="G170" s="87"/>
      <c r="H170" s="87"/>
      <c r="I170" s="87"/>
      <c r="J170" s="87"/>
      <c r="K170" s="87"/>
      <c r="L170" s="88"/>
      <c r="M170" s="89"/>
      <c r="N170" s="1011">
        <f>IFERROR(L142/N161,0)</f>
        <v>0</v>
      </c>
      <c r="O170" s="1011"/>
      <c r="P170" s="976">
        <f>IF(AND(N168="Oui",N170&gt;=0.5),1,0)</f>
        <v>0</v>
      </c>
      <c r="Q170" s="899"/>
      <c r="R170" s="6"/>
      <c r="S170" s="6"/>
      <c r="X170" s="6"/>
      <c r="Y170" s="22"/>
    </row>
    <row r="171" spans="2:25" x14ac:dyDescent="0.25">
      <c r="B171" s="21"/>
      <c r="D171" s="6"/>
      <c r="E171" s="87" t="s">
        <v>608</v>
      </c>
      <c r="F171" s="87"/>
      <c r="G171" s="87"/>
      <c r="H171" s="87"/>
      <c r="I171" s="87"/>
      <c r="J171" s="87"/>
      <c r="K171" s="87"/>
      <c r="L171" s="88"/>
      <c r="M171" s="89"/>
      <c r="N171" s="1011">
        <f>IFERROR(L143/N160,0)</f>
        <v>0</v>
      </c>
      <c r="O171" s="1011"/>
      <c r="P171" s="976">
        <f>IFERROR(IF(OR(L143="",L143=0),0,MIN(3*(N160/N161),3)),0)</f>
        <v>0</v>
      </c>
      <c r="Q171" s="899"/>
      <c r="R171" s="6"/>
      <c r="S171" s="6"/>
      <c r="X171" s="6"/>
      <c r="Y171" s="22"/>
    </row>
    <row r="172" spans="2:25" x14ac:dyDescent="0.25">
      <c r="B172" s="21"/>
      <c r="D172" s="6"/>
      <c r="E172" s="70"/>
      <c r="F172" s="70"/>
      <c r="G172" s="70"/>
      <c r="H172" s="70"/>
      <c r="I172" s="70"/>
      <c r="J172" s="70"/>
      <c r="K172" s="70"/>
      <c r="N172" s="189"/>
      <c r="O172" s="85"/>
      <c r="P172" s="121"/>
      <c r="Q172" s="121"/>
      <c r="R172" s="6"/>
      <c r="S172" s="6"/>
      <c r="X172" s="6"/>
      <c r="Y172" s="22"/>
    </row>
    <row r="173" spans="2:25" x14ac:dyDescent="0.25">
      <c r="B173" s="21"/>
      <c r="D173" s="46" t="s">
        <v>341</v>
      </c>
      <c r="E173" s="70"/>
      <c r="F173" s="70"/>
      <c r="G173" s="70"/>
      <c r="H173" s="70"/>
      <c r="I173" s="70"/>
      <c r="J173" s="70"/>
      <c r="K173" s="70"/>
      <c r="N173" s="189"/>
      <c r="O173" s="210"/>
      <c r="P173" s="212"/>
      <c r="Q173" s="212"/>
      <c r="R173" s="6"/>
      <c r="S173" s="6"/>
      <c r="X173" s="6"/>
      <c r="Y173" s="22"/>
    </row>
    <row r="174" spans="2:25" x14ac:dyDescent="0.25">
      <c r="B174" s="21"/>
      <c r="D174" s="6"/>
      <c r="E174" s="86" t="s">
        <v>2586</v>
      </c>
      <c r="F174" s="86"/>
      <c r="G174" s="86"/>
      <c r="H174" s="86"/>
      <c r="I174" s="86"/>
      <c r="J174" s="86"/>
      <c r="K174" s="86"/>
      <c r="L174" s="44"/>
      <c r="M174" s="49"/>
      <c r="N174" s="1011">
        <f>IFERROR(L146/N162,0)</f>
        <v>0</v>
      </c>
      <c r="O174" s="1011"/>
      <c r="P174" s="976">
        <f>IFERROR(IF(N174&gt;=0.5,(N174*1.5),0),0)</f>
        <v>0</v>
      </c>
      <c r="Q174" s="899"/>
      <c r="R174" s="6"/>
      <c r="S174" s="6"/>
      <c r="X174" s="6"/>
      <c r="Y174" s="22"/>
    </row>
    <row r="175" spans="2:25" x14ac:dyDescent="0.25">
      <c r="B175" s="21"/>
      <c r="D175" s="6"/>
      <c r="E175" s="87" t="s">
        <v>2588</v>
      </c>
      <c r="F175" s="87"/>
      <c r="G175" s="87"/>
      <c r="H175" s="87"/>
      <c r="I175" s="87"/>
      <c r="J175" s="87"/>
      <c r="K175" s="87"/>
      <c r="L175" s="88"/>
      <c r="M175" s="89"/>
      <c r="N175" s="1011">
        <f>IFERROR((L147+L148)/N162,0)</f>
        <v>0</v>
      </c>
      <c r="O175" s="1011"/>
      <c r="P175" s="976">
        <f>IFERROR(IF(N175&gt;=0.5,N175*1.5,0),0)</f>
        <v>0</v>
      </c>
      <c r="Q175" s="899"/>
      <c r="R175" s="6"/>
      <c r="S175" s="6"/>
      <c r="X175" s="6"/>
      <c r="Y175" s="22"/>
    </row>
    <row r="176" spans="2:25" x14ac:dyDescent="0.25">
      <c r="B176" s="21"/>
      <c r="D176" s="6"/>
      <c r="E176" s="70"/>
      <c r="F176" s="70"/>
      <c r="G176" s="70"/>
      <c r="H176" s="70"/>
      <c r="I176" s="70"/>
      <c r="J176" s="70"/>
      <c r="K176" s="70"/>
      <c r="L176" s="6"/>
      <c r="M176" s="6"/>
      <c r="N176" s="166"/>
      <c r="O176" s="166"/>
      <c r="P176" s="392"/>
      <c r="Q176" s="392"/>
      <c r="R176" s="6"/>
      <c r="S176" s="6"/>
      <c r="X176" s="6"/>
      <c r="Y176" s="22"/>
    </row>
    <row r="177" spans="2:25" x14ac:dyDescent="0.25">
      <c r="B177" s="21"/>
      <c r="D177" s="86" t="s">
        <v>740</v>
      </c>
      <c r="E177" s="86"/>
      <c r="F177" s="86"/>
      <c r="G177" s="86"/>
      <c r="H177" s="86"/>
      <c r="I177" s="86"/>
      <c r="J177" s="86"/>
      <c r="K177" s="86"/>
      <c r="L177" s="86"/>
      <c r="M177" s="86"/>
      <c r="N177" s="397"/>
      <c r="O177" s="397"/>
      <c r="P177" s="976">
        <f>MIN(SUM(P168:Q175),3)</f>
        <v>0</v>
      </c>
      <c r="Q177" s="998"/>
      <c r="R177" s="6"/>
      <c r="S177" s="6"/>
      <c r="X177" s="6"/>
      <c r="Y177" s="22"/>
    </row>
    <row r="178" spans="2:25" x14ac:dyDescent="0.25">
      <c r="B178" s="21"/>
      <c r="C178" s="6"/>
      <c r="D178" s="70"/>
      <c r="E178" s="70"/>
      <c r="F178" s="70"/>
      <c r="G178" s="70"/>
      <c r="H178" s="70"/>
      <c r="I178" s="70"/>
      <c r="J178" s="70"/>
      <c r="K178" s="70"/>
      <c r="N178" s="189"/>
      <c r="O178" s="141"/>
      <c r="P178" s="142"/>
      <c r="Q178" s="142"/>
      <c r="R178" s="6"/>
      <c r="S178" s="6"/>
      <c r="X178" s="6"/>
      <c r="Y178" s="22"/>
    </row>
    <row r="179" spans="2:25" x14ac:dyDescent="0.25">
      <c r="B179" s="21"/>
      <c r="C179" s="102" t="s">
        <v>342</v>
      </c>
      <c r="D179" s="70"/>
      <c r="E179" s="70"/>
      <c r="F179" s="70"/>
      <c r="G179" s="70"/>
      <c r="H179" s="70"/>
      <c r="I179" s="70"/>
      <c r="J179" s="70"/>
      <c r="K179" s="70"/>
      <c r="L179" s="6"/>
      <c r="M179" s="6"/>
      <c r="N179" s="189"/>
      <c r="O179" s="210"/>
      <c r="P179" s="212"/>
      <c r="Q179" s="212"/>
      <c r="R179" s="6"/>
      <c r="S179" s="6"/>
      <c r="X179" s="6"/>
      <c r="Y179" s="22"/>
    </row>
    <row r="180" spans="2:25" x14ac:dyDescent="0.25">
      <c r="B180" s="21"/>
      <c r="C180" s="6"/>
      <c r="D180" s="86" t="s">
        <v>2589</v>
      </c>
      <c r="E180" s="86"/>
      <c r="F180" s="86"/>
      <c r="G180" s="86"/>
      <c r="H180" s="86"/>
      <c r="I180" s="86"/>
      <c r="J180" s="86"/>
      <c r="K180" s="86"/>
      <c r="L180" s="44"/>
      <c r="M180" s="49"/>
      <c r="N180" s="1011">
        <f>IFERROR(L151/N163,0)</f>
        <v>0</v>
      </c>
      <c r="O180" s="1011"/>
      <c r="P180" s="894">
        <f>IFERROR(MIN(ROUNDUP(MAX(N180-30%,0)/10%,0),7),0)</f>
        <v>0</v>
      </c>
      <c r="Q180" s="895"/>
      <c r="R180" s="6"/>
      <c r="S180" s="6"/>
      <c r="X180" s="6"/>
      <c r="Y180" s="22"/>
    </row>
    <row r="181" spans="2:25" x14ac:dyDescent="0.25">
      <c r="B181" s="21"/>
      <c r="C181" s="6"/>
      <c r="D181" s="86" t="s">
        <v>741</v>
      </c>
      <c r="E181" s="86"/>
      <c r="F181" s="86"/>
      <c r="G181" s="86"/>
      <c r="H181" s="86"/>
      <c r="I181" s="86"/>
      <c r="J181" s="86"/>
      <c r="K181" s="86"/>
      <c r="L181" s="44"/>
      <c r="M181" s="49"/>
      <c r="N181" s="1019">
        <f>IFERROR(L152/N163,0)</f>
        <v>0</v>
      </c>
      <c r="O181" s="1019"/>
      <c r="P181" s="894">
        <f>IF(N181&gt;0.5,1,0)</f>
        <v>0</v>
      </c>
      <c r="Q181" s="895"/>
      <c r="R181" s="6"/>
      <c r="S181" s="6"/>
      <c r="X181" s="6"/>
      <c r="Y181" s="22"/>
    </row>
    <row r="182" spans="2:25" x14ac:dyDescent="0.25">
      <c r="B182" s="21"/>
      <c r="C182" s="6"/>
      <c r="D182" s="70"/>
      <c r="E182" s="70"/>
      <c r="F182" s="70"/>
      <c r="G182" s="70"/>
      <c r="H182" s="70"/>
      <c r="I182" s="70"/>
      <c r="J182" s="70"/>
      <c r="K182" s="70"/>
      <c r="L182" s="6"/>
      <c r="M182" s="6"/>
      <c r="N182" s="166"/>
      <c r="O182" s="166"/>
      <c r="P182" s="392"/>
      <c r="Q182" s="392"/>
      <c r="R182" s="6"/>
      <c r="S182" s="6"/>
      <c r="X182" s="6"/>
      <c r="Y182" s="22"/>
    </row>
    <row r="183" spans="2:25" x14ac:dyDescent="0.25">
      <c r="B183" s="21"/>
      <c r="C183" s="6"/>
      <c r="D183" s="86" t="s">
        <v>742</v>
      </c>
      <c r="E183" s="86"/>
      <c r="F183" s="86"/>
      <c r="G183" s="86"/>
      <c r="H183" s="86"/>
      <c r="I183" s="86"/>
      <c r="J183" s="86"/>
      <c r="K183" s="86"/>
      <c r="L183" s="86"/>
      <c r="M183" s="86"/>
      <c r="N183" s="397"/>
      <c r="O183" s="397"/>
      <c r="P183" s="894">
        <f>MIN(SUM(P180:Q181),7)</f>
        <v>0</v>
      </c>
      <c r="Q183" s="895"/>
      <c r="R183" s="6"/>
      <c r="S183" s="6"/>
      <c r="X183" s="6"/>
      <c r="Y183" s="22"/>
    </row>
    <row r="184" spans="2:25" x14ac:dyDescent="0.25">
      <c r="B184" s="21"/>
      <c r="C184" s="6"/>
      <c r="D184" s="70"/>
      <c r="E184" s="70"/>
      <c r="F184" s="70"/>
      <c r="G184" s="70"/>
      <c r="H184" s="70"/>
      <c r="I184" s="70"/>
      <c r="J184" s="70"/>
      <c r="K184" s="70"/>
      <c r="L184" s="85"/>
      <c r="M184" s="85"/>
      <c r="N184" s="189"/>
      <c r="O184" s="121"/>
      <c r="P184" s="6"/>
      <c r="Q184" s="6"/>
      <c r="R184" s="6"/>
      <c r="S184" s="6"/>
      <c r="T184" s="6"/>
      <c r="U184" s="6"/>
      <c r="V184" s="6"/>
      <c r="W184" s="6"/>
      <c r="X184" s="6"/>
      <c r="Y184" s="22"/>
    </row>
    <row r="185" spans="2:25" x14ac:dyDescent="0.25">
      <c r="B185" s="21"/>
      <c r="C185" s="6"/>
      <c r="D185" s="70"/>
      <c r="E185" s="70"/>
      <c r="F185" s="70"/>
      <c r="G185" s="70"/>
      <c r="H185" s="70"/>
      <c r="I185" s="70"/>
      <c r="J185" s="70"/>
      <c r="K185" s="70"/>
      <c r="L185" s="229"/>
      <c r="M185" s="229"/>
      <c r="N185" s="189"/>
      <c r="O185" s="230"/>
      <c r="P185" s="6"/>
      <c r="Q185" s="6"/>
      <c r="R185" s="6"/>
      <c r="S185" s="6"/>
      <c r="T185" s="6"/>
      <c r="U185" s="6"/>
      <c r="V185" s="6"/>
      <c r="W185" s="6"/>
      <c r="X185" s="6"/>
      <c r="Y185" s="22"/>
    </row>
    <row r="186" spans="2:25" x14ac:dyDescent="0.25">
      <c r="B186" s="21"/>
      <c r="C186" s="86" t="s">
        <v>611</v>
      </c>
      <c r="D186" s="86"/>
      <c r="E186" s="86"/>
      <c r="F186" s="86"/>
      <c r="G186" s="86"/>
      <c r="H186" s="86"/>
      <c r="I186" s="86"/>
      <c r="J186" s="86"/>
      <c r="K186" s="86"/>
      <c r="L186" s="235"/>
      <c r="M186" s="238"/>
      <c r="N186" s="1011">
        <f>M60</f>
        <v>0</v>
      </c>
      <c r="O186" s="1011"/>
      <c r="P186" s="6"/>
      <c r="Q186" s="6"/>
      <c r="R186" s="6"/>
      <c r="S186" s="6"/>
      <c r="T186" s="6"/>
      <c r="U186" s="6"/>
      <c r="V186" s="6"/>
      <c r="W186" s="770" t="s">
        <v>723</v>
      </c>
      <c r="X186" s="770"/>
      <c r="Y186" s="22"/>
    </row>
    <row r="187" spans="2:25" x14ac:dyDescent="0.25">
      <c r="B187" s="21"/>
      <c r="C187" s="181" t="s">
        <v>427</v>
      </c>
      <c r="D187" s="86"/>
      <c r="E187" s="86"/>
      <c r="F187" s="86"/>
      <c r="G187" s="86"/>
      <c r="H187" s="86"/>
      <c r="I187" s="86"/>
      <c r="J187" s="86"/>
      <c r="K187" s="86"/>
      <c r="L187" s="235"/>
      <c r="M187" s="235"/>
      <c r="N187" s="236"/>
      <c r="O187" s="237"/>
      <c r="P187" s="880">
        <f>IF(N186&lt;0.05,P177,(P177*(100%-N186))+(P183*N186))</f>
        <v>0</v>
      </c>
      <c r="Q187" s="881"/>
      <c r="R187" s="6"/>
      <c r="S187" s="6"/>
      <c r="T187" s="6"/>
      <c r="U187" s="6"/>
      <c r="V187" s="6"/>
      <c r="W187" s="771">
        <f>IF(N186&lt;0.05,3,(3*(100%-N186))+(7*N186))</f>
        <v>3</v>
      </c>
      <c r="X187" s="772"/>
      <c r="Y187" s="22"/>
    </row>
    <row r="188" spans="2:25" x14ac:dyDescent="0.25">
      <c r="B188" s="21"/>
      <c r="C188" s="6"/>
      <c r="D188" s="70"/>
      <c r="E188" s="70"/>
      <c r="F188" s="70"/>
      <c r="G188" s="70"/>
      <c r="H188" s="70"/>
      <c r="I188" s="70"/>
      <c r="J188" s="70"/>
      <c r="K188" s="70"/>
      <c r="L188" s="229"/>
      <c r="M188" s="229"/>
      <c r="N188" s="189"/>
      <c r="O188" s="230"/>
      <c r="P188" s="6"/>
      <c r="Q188" s="6"/>
      <c r="R188" s="6"/>
      <c r="S188" s="6"/>
      <c r="T188" s="6"/>
      <c r="U188" s="6"/>
      <c r="V188" s="6"/>
      <c r="W188" s="6"/>
      <c r="X188" s="6"/>
      <c r="Y188" s="22"/>
    </row>
    <row r="189" spans="2:25" x14ac:dyDescent="0.25">
      <c r="B189" s="21"/>
      <c r="C189" s="6"/>
      <c r="D189" s="70"/>
      <c r="E189" s="70"/>
      <c r="F189" s="70"/>
      <c r="G189" s="70"/>
      <c r="H189" s="70"/>
      <c r="I189" s="70"/>
      <c r="J189" s="70"/>
      <c r="K189" s="70"/>
      <c r="L189" s="475"/>
      <c r="M189" s="475"/>
      <c r="N189" s="189"/>
      <c r="O189" s="476"/>
      <c r="P189" s="6"/>
      <c r="Q189" s="6"/>
      <c r="R189" s="6"/>
      <c r="S189" s="6"/>
      <c r="T189" s="6"/>
      <c r="U189" s="6"/>
      <c r="V189" s="6"/>
      <c r="W189" s="6"/>
      <c r="X189" s="6"/>
      <c r="Y189" s="22"/>
    </row>
    <row r="190" spans="2:25" x14ac:dyDescent="0.25">
      <c r="B190" s="21"/>
      <c r="C190" s="102" t="s">
        <v>2532</v>
      </c>
      <c r="D190" s="6"/>
      <c r="E190" s="6"/>
      <c r="F190" s="6"/>
      <c r="G190" s="6"/>
      <c r="H190" s="6"/>
      <c r="I190" s="6"/>
      <c r="J190" s="6"/>
      <c r="K190" s="6"/>
      <c r="L190" s="6"/>
      <c r="M190" s="6"/>
      <c r="N190" s="6"/>
      <c r="O190" s="6"/>
      <c r="P190" s="6"/>
      <c r="Q190" s="6"/>
      <c r="R190" s="6"/>
      <c r="S190" s="6"/>
      <c r="T190" s="6"/>
      <c r="U190" s="6"/>
      <c r="V190" s="6"/>
      <c r="W190" s="6"/>
      <c r="X190" s="6"/>
      <c r="Y190" s="22"/>
    </row>
    <row r="191" spans="2:25" x14ac:dyDescent="0.25">
      <c r="B191" s="21"/>
      <c r="C191" s="757"/>
      <c r="D191" s="758"/>
      <c r="E191" s="758"/>
      <c r="F191" s="758"/>
      <c r="G191" s="758"/>
      <c r="H191" s="758"/>
      <c r="I191" s="758"/>
      <c r="J191" s="758"/>
      <c r="K191" s="758"/>
      <c r="L191" s="758"/>
      <c r="M191" s="758"/>
      <c r="N191" s="758"/>
      <c r="O191" s="758"/>
      <c r="P191" s="758"/>
      <c r="Q191" s="758"/>
      <c r="R191" s="758"/>
      <c r="S191" s="758"/>
      <c r="T191" s="758"/>
      <c r="U191" s="758"/>
      <c r="V191" s="758"/>
      <c r="W191" s="759"/>
      <c r="X191" s="6"/>
      <c r="Y191" s="22"/>
    </row>
    <row r="192" spans="2:25" x14ac:dyDescent="0.25">
      <c r="B192" s="21"/>
      <c r="C192" s="760"/>
      <c r="D192" s="761"/>
      <c r="E192" s="761"/>
      <c r="F192" s="761"/>
      <c r="G192" s="761"/>
      <c r="H192" s="761"/>
      <c r="I192" s="761"/>
      <c r="J192" s="761"/>
      <c r="K192" s="761"/>
      <c r="L192" s="761"/>
      <c r="M192" s="761"/>
      <c r="N192" s="761"/>
      <c r="O192" s="761"/>
      <c r="P192" s="761"/>
      <c r="Q192" s="761"/>
      <c r="R192" s="761"/>
      <c r="S192" s="761"/>
      <c r="T192" s="761"/>
      <c r="U192" s="761"/>
      <c r="V192" s="761"/>
      <c r="W192" s="762"/>
      <c r="X192" s="6"/>
      <c r="Y192" s="22"/>
    </row>
    <row r="193" spans="2:25" x14ac:dyDescent="0.25">
      <c r="B193" s="21"/>
      <c r="C193" s="760"/>
      <c r="D193" s="761"/>
      <c r="E193" s="761"/>
      <c r="F193" s="761"/>
      <c r="G193" s="761"/>
      <c r="H193" s="761"/>
      <c r="I193" s="761"/>
      <c r="J193" s="761"/>
      <c r="K193" s="761"/>
      <c r="L193" s="761"/>
      <c r="M193" s="761"/>
      <c r="N193" s="761"/>
      <c r="O193" s="761"/>
      <c r="P193" s="761"/>
      <c r="Q193" s="761"/>
      <c r="R193" s="761"/>
      <c r="S193" s="761"/>
      <c r="T193" s="761"/>
      <c r="U193" s="761"/>
      <c r="V193" s="761"/>
      <c r="W193" s="762"/>
      <c r="X193" s="6"/>
      <c r="Y193" s="22"/>
    </row>
    <row r="194" spans="2:25" x14ac:dyDescent="0.25">
      <c r="B194" s="21"/>
      <c r="C194" s="760"/>
      <c r="D194" s="761"/>
      <c r="E194" s="761"/>
      <c r="F194" s="761"/>
      <c r="G194" s="761"/>
      <c r="H194" s="761"/>
      <c r="I194" s="761"/>
      <c r="J194" s="761"/>
      <c r="K194" s="761"/>
      <c r="L194" s="761"/>
      <c r="M194" s="761"/>
      <c r="N194" s="761"/>
      <c r="O194" s="761"/>
      <c r="P194" s="761"/>
      <c r="Q194" s="761"/>
      <c r="R194" s="761"/>
      <c r="S194" s="761"/>
      <c r="T194" s="761"/>
      <c r="U194" s="761"/>
      <c r="V194" s="761"/>
      <c r="W194" s="762"/>
      <c r="X194" s="6"/>
      <c r="Y194" s="22"/>
    </row>
    <row r="195" spans="2:25" x14ac:dyDescent="0.25">
      <c r="B195" s="21"/>
      <c r="C195" s="763"/>
      <c r="D195" s="764"/>
      <c r="E195" s="764"/>
      <c r="F195" s="764"/>
      <c r="G195" s="764"/>
      <c r="H195" s="764"/>
      <c r="I195" s="764"/>
      <c r="J195" s="764"/>
      <c r="K195" s="764"/>
      <c r="L195" s="764"/>
      <c r="M195" s="764"/>
      <c r="N195" s="764"/>
      <c r="O195" s="764"/>
      <c r="P195" s="764"/>
      <c r="Q195" s="764"/>
      <c r="R195" s="764"/>
      <c r="S195" s="764"/>
      <c r="T195" s="764"/>
      <c r="U195" s="764"/>
      <c r="V195" s="764"/>
      <c r="W195" s="765"/>
      <c r="X195" s="6"/>
      <c r="Y195" s="22"/>
    </row>
    <row r="196" spans="2:25" x14ac:dyDescent="0.25">
      <c r="B196" s="21"/>
      <c r="C196" s="6"/>
      <c r="D196" s="70"/>
      <c r="E196" s="70"/>
      <c r="F196" s="70"/>
      <c r="G196" s="70"/>
      <c r="H196" s="70"/>
      <c r="I196" s="70"/>
      <c r="J196" s="70"/>
      <c r="K196" s="70"/>
      <c r="L196" s="475"/>
      <c r="M196" s="475"/>
      <c r="N196" s="189"/>
      <c r="O196" s="476"/>
      <c r="P196" s="6"/>
      <c r="Q196" s="6"/>
      <c r="R196" s="6"/>
      <c r="S196" s="6"/>
      <c r="T196" s="6"/>
      <c r="U196" s="6"/>
      <c r="V196" s="6"/>
      <c r="W196" s="6"/>
      <c r="X196" s="6"/>
      <c r="Y196" s="22"/>
    </row>
    <row r="197" spans="2:25" ht="15.75" thickBot="1" x14ac:dyDescent="0.3">
      <c r="B197" s="24"/>
      <c r="C197" s="25"/>
      <c r="D197" s="25"/>
      <c r="E197" s="25"/>
      <c r="F197" s="25"/>
      <c r="G197" s="25"/>
      <c r="H197" s="25"/>
      <c r="I197" s="25"/>
      <c r="J197" s="25"/>
      <c r="K197" s="25"/>
      <c r="L197" s="25"/>
      <c r="M197" s="25"/>
      <c r="N197" s="25"/>
      <c r="O197" s="25"/>
      <c r="P197" s="25"/>
      <c r="Q197" s="25"/>
      <c r="R197" s="25"/>
      <c r="S197" s="25"/>
      <c r="T197" s="25"/>
      <c r="U197" s="25"/>
      <c r="V197" s="25"/>
      <c r="W197" s="25"/>
      <c r="X197" s="25"/>
      <c r="Y197" s="26"/>
    </row>
    <row r="200" spans="2:25" ht="15.75" thickBot="1" x14ac:dyDescent="0.3"/>
    <row r="201" spans="2:25" x14ac:dyDescent="0.25">
      <c r="B201" s="18"/>
      <c r="C201" s="19"/>
      <c r="D201" s="19"/>
      <c r="E201" s="19"/>
      <c r="F201" s="19"/>
      <c r="G201" s="19"/>
      <c r="H201" s="19"/>
      <c r="I201" s="19"/>
      <c r="J201" s="19"/>
      <c r="K201" s="19"/>
      <c r="L201" s="19"/>
      <c r="M201" s="19"/>
      <c r="N201" s="19"/>
      <c r="O201" s="19"/>
      <c r="P201" s="19"/>
      <c r="Q201" s="19"/>
      <c r="R201" s="19"/>
      <c r="S201" s="19"/>
      <c r="T201" s="19"/>
      <c r="U201" s="19"/>
      <c r="V201" s="19"/>
      <c r="W201" s="19"/>
      <c r="X201" s="19"/>
      <c r="Y201" s="20"/>
    </row>
    <row r="202" spans="2:25" x14ac:dyDescent="0.25">
      <c r="B202" s="21"/>
      <c r="C202" s="6"/>
      <c r="D202" s="6"/>
      <c r="E202" s="6"/>
      <c r="F202" s="6"/>
      <c r="G202" s="6"/>
      <c r="H202" s="6"/>
      <c r="I202" s="6"/>
      <c r="J202" s="6"/>
      <c r="K202" s="6"/>
      <c r="L202" s="6"/>
      <c r="M202" s="6"/>
      <c r="N202" s="6"/>
      <c r="O202" s="6"/>
      <c r="P202" s="6"/>
      <c r="Q202" s="6"/>
      <c r="R202" s="6"/>
      <c r="S202" s="6"/>
      <c r="T202" s="6"/>
      <c r="U202" s="6"/>
      <c r="V202" s="6"/>
      <c r="W202" s="6"/>
      <c r="X202" s="6"/>
      <c r="Y202" s="22"/>
    </row>
    <row r="203" spans="2:25" x14ac:dyDescent="0.25">
      <c r="B203" s="21"/>
      <c r="C203" s="51" t="s">
        <v>343</v>
      </c>
      <c r="D203" s="51"/>
      <c r="E203" s="51"/>
      <c r="F203" s="51"/>
      <c r="G203" s="51"/>
      <c r="H203" s="51"/>
      <c r="I203" s="47"/>
      <c r="J203" s="896">
        <f>Surfaces!O120</f>
        <v>0</v>
      </c>
      <c r="K203" s="896"/>
      <c r="L203" s="6"/>
      <c r="M203" s="6"/>
      <c r="N203" s="6"/>
      <c r="O203" s="6"/>
      <c r="P203" s="6"/>
      <c r="Q203" s="6"/>
      <c r="R203" s="6"/>
      <c r="S203" s="6"/>
      <c r="T203" s="6"/>
      <c r="U203" s="6"/>
      <c r="V203" s="6"/>
      <c r="W203" s="6"/>
      <c r="X203" s="6"/>
      <c r="Y203" s="22"/>
    </row>
    <row r="204" spans="2:25" x14ac:dyDescent="0.25">
      <c r="B204" s="21"/>
      <c r="C204" s="52" t="s">
        <v>2590</v>
      </c>
      <c r="D204" s="52"/>
      <c r="E204" s="52"/>
      <c r="F204" s="52"/>
      <c r="G204" s="52"/>
      <c r="H204" s="52"/>
      <c r="I204" s="48"/>
      <c r="J204" s="904"/>
      <c r="K204" s="904"/>
      <c r="L204" s="6"/>
      <c r="M204" s="173" t="str">
        <f>IF(J204&gt;(Surfaces!O24-SUM(Surfaces!O120:O122)),"Attention : surface saisie &gt; SAU-PP","")</f>
        <v/>
      </c>
      <c r="N204" s="6"/>
      <c r="O204" s="6"/>
      <c r="P204" s="6"/>
      <c r="Q204" s="6"/>
      <c r="R204" s="6"/>
      <c r="S204" s="6"/>
      <c r="T204" s="6"/>
      <c r="U204" s="6"/>
      <c r="V204" s="6"/>
      <c r="W204" s="6"/>
      <c r="X204" s="6"/>
      <c r="Y204" s="22"/>
    </row>
    <row r="205" spans="2:25" x14ac:dyDescent="0.25">
      <c r="B205" s="21"/>
      <c r="C205" s="6"/>
      <c r="D205" s="6"/>
      <c r="E205" s="6"/>
      <c r="F205" s="6"/>
      <c r="G205" s="6"/>
      <c r="H205" s="6"/>
      <c r="I205" s="6"/>
      <c r="J205" s="6"/>
      <c r="K205" s="6"/>
      <c r="L205" s="6"/>
      <c r="M205" s="6"/>
      <c r="N205" s="6"/>
      <c r="O205" s="6"/>
      <c r="P205" s="6"/>
      <c r="Q205" s="6"/>
      <c r="R205" s="6"/>
      <c r="S205" s="6"/>
      <c r="T205" s="6"/>
      <c r="U205" s="6"/>
      <c r="V205" s="6"/>
      <c r="W205" s="6"/>
      <c r="X205" s="6"/>
      <c r="Y205" s="22"/>
    </row>
    <row r="206" spans="2:25" x14ac:dyDescent="0.25">
      <c r="B206" s="21"/>
      <c r="C206" s="6"/>
      <c r="D206" s="6"/>
      <c r="E206" s="6"/>
      <c r="F206" s="6"/>
      <c r="G206" s="6"/>
      <c r="H206" s="6"/>
      <c r="I206" s="6"/>
      <c r="J206" s="6"/>
      <c r="K206" s="6"/>
      <c r="L206" s="6"/>
      <c r="M206" s="6"/>
      <c r="N206" s="6"/>
      <c r="O206" s="6"/>
      <c r="P206" s="6"/>
      <c r="Q206" s="6"/>
      <c r="R206" s="6"/>
      <c r="S206" s="6"/>
      <c r="T206" s="6"/>
      <c r="U206" s="6"/>
      <c r="V206" s="6"/>
      <c r="W206" s="6"/>
      <c r="X206" s="6"/>
      <c r="Y206" s="22"/>
    </row>
    <row r="207" spans="2:25" x14ac:dyDescent="0.25">
      <c r="B207" s="21"/>
      <c r="C207" s="46"/>
      <c r="D207" s="6"/>
      <c r="E207" s="6"/>
      <c r="F207" s="6"/>
      <c r="G207" s="6"/>
      <c r="H207" s="6"/>
      <c r="I207" s="6"/>
      <c r="J207" s="6"/>
      <c r="K207" s="6"/>
      <c r="L207" s="741" t="s">
        <v>245</v>
      </c>
      <c r="M207" s="741"/>
      <c r="N207" s="6"/>
      <c r="O207" s="6"/>
      <c r="P207" s="6"/>
      <c r="Q207" s="6"/>
      <c r="R207" s="6"/>
      <c r="S207" s="6"/>
      <c r="T207" s="6"/>
      <c r="U207" s="6"/>
      <c r="V207" s="6"/>
      <c r="W207" s="6"/>
      <c r="X207" s="6"/>
      <c r="Y207" s="22"/>
    </row>
    <row r="208" spans="2:25" x14ac:dyDescent="0.25">
      <c r="B208" s="21"/>
      <c r="C208" s="6"/>
      <c r="D208" s="6"/>
      <c r="E208" s="6"/>
      <c r="F208" s="6"/>
      <c r="G208" s="6"/>
      <c r="H208" s="6"/>
      <c r="I208" s="6"/>
      <c r="J208" s="6"/>
      <c r="K208" s="6"/>
      <c r="L208" s="6"/>
      <c r="M208" s="6"/>
      <c r="N208" s="6"/>
      <c r="O208" s="6"/>
      <c r="P208" s="6"/>
      <c r="Q208" s="6"/>
      <c r="R208" s="6"/>
      <c r="S208" s="6"/>
      <c r="T208" s="6"/>
      <c r="U208" s="6"/>
      <c r="V208" s="6"/>
      <c r="W208" s="6"/>
      <c r="X208" s="6"/>
      <c r="Y208" s="22"/>
    </row>
    <row r="209" spans="2:25" x14ac:dyDescent="0.25">
      <c r="B209" s="21"/>
      <c r="C209" s="6"/>
      <c r="D209" s="86" t="s">
        <v>304</v>
      </c>
      <c r="E209" s="86"/>
      <c r="F209" s="86"/>
      <c r="G209" s="86"/>
      <c r="H209" s="86"/>
      <c r="I209" s="119"/>
      <c r="J209" s="896">
        <f>Surfaces!O24</f>
        <v>10</v>
      </c>
      <c r="K209" s="1013"/>
      <c r="L209" s="1023"/>
      <c r="M209" s="992"/>
      <c r="N209" s="6"/>
      <c r="O209" s="6"/>
      <c r="P209" s="6"/>
      <c r="Q209" s="6"/>
      <c r="R209" s="6"/>
      <c r="S209" s="6"/>
      <c r="T209" s="6"/>
      <c r="U209" s="6"/>
      <c r="V209" s="6"/>
      <c r="W209" s="6"/>
      <c r="X209" s="6"/>
      <c r="Y209" s="22"/>
    </row>
    <row r="210" spans="2:25" x14ac:dyDescent="0.25">
      <c r="B210" s="21"/>
      <c r="C210" s="6"/>
      <c r="D210" s="87" t="s">
        <v>2591</v>
      </c>
      <c r="E210" s="87"/>
      <c r="F210" s="87"/>
      <c r="G210" s="87"/>
      <c r="H210" s="87"/>
      <c r="I210" s="120"/>
      <c r="J210" s="896">
        <f>SUM(J203:K204)</f>
        <v>0</v>
      </c>
      <c r="K210" s="896"/>
      <c r="L210" s="1029"/>
      <c r="M210" s="1002"/>
      <c r="N210" s="6"/>
      <c r="O210" s="6"/>
      <c r="P210" s="6"/>
      <c r="Q210" s="6"/>
      <c r="R210" s="6"/>
      <c r="S210" s="6"/>
      <c r="T210" s="6"/>
      <c r="U210" s="6"/>
      <c r="V210" s="6"/>
      <c r="W210" s="770" t="s">
        <v>723</v>
      </c>
      <c r="X210" s="770"/>
      <c r="Y210" s="22"/>
    </row>
    <row r="211" spans="2:25" x14ac:dyDescent="0.25">
      <c r="B211" s="21"/>
      <c r="C211" s="6"/>
      <c r="D211" s="87" t="s">
        <v>344</v>
      </c>
      <c r="E211" s="87"/>
      <c r="F211" s="87"/>
      <c r="G211" s="87"/>
      <c r="H211" s="87"/>
      <c r="I211" s="120"/>
      <c r="J211" s="1011">
        <f>IFERROR(J210/J209,0)</f>
        <v>0</v>
      </c>
      <c r="K211" s="1011"/>
      <c r="L211" s="880">
        <f>MIN(ROUNDUP(MAX(J211-5%,0)/10%,0),10)</f>
        <v>0</v>
      </c>
      <c r="M211" s="881"/>
      <c r="N211" s="6"/>
      <c r="O211" s="6"/>
      <c r="P211" s="6"/>
      <c r="Q211" s="6"/>
      <c r="R211" s="6"/>
      <c r="S211" s="6"/>
      <c r="T211" s="6"/>
      <c r="U211" s="6"/>
      <c r="V211" s="6"/>
      <c r="W211" s="771">
        <v>10</v>
      </c>
      <c r="X211" s="772"/>
      <c r="Y211" s="22"/>
    </row>
    <row r="212" spans="2:25" x14ac:dyDescent="0.25">
      <c r="B212" s="21"/>
      <c r="C212" s="6"/>
      <c r="D212" s="6"/>
      <c r="E212" s="6"/>
      <c r="F212" s="6"/>
      <c r="G212" s="6"/>
      <c r="H212" s="6"/>
      <c r="I212" s="6"/>
      <c r="J212" s="6"/>
      <c r="K212" s="6"/>
      <c r="L212" s="6"/>
      <c r="M212" s="6"/>
      <c r="N212" s="6"/>
      <c r="O212" s="6"/>
      <c r="P212" s="6"/>
      <c r="Q212" s="6"/>
      <c r="R212" s="6"/>
      <c r="S212" s="6"/>
      <c r="T212" s="6"/>
      <c r="U212" s="6"/>
      <c r="V212" s="6"/>
      <c r="W212" s="6"/>
      <c r="X212" s="6"/>
      <c r="Y212" s="22"/>
    </row>
    <row r="213" spans="2:25" x14ac:dyDescent="0.25">
      <c r="B213" s="21"/>
      <c r="C213" s="6"/>
      <c r="D213" s="6"/>
      <c r="E213" s="6"/>
      <c r="F213" s="6"/>
      <c r="G213" s="6"/>
      <c r="H213" s="6"/>
      <c r="I213" s="6"/>
      <c r="J213" s="6"/>
      <c r="K213" s="6"/>
      <c r="L213" s="6"/>
      <c r="M213" s="6"/>
      <c r="N213" s="6"/>
      <c r="O213" s="6"/>
      <c r="P213" s="6"/>
      <c r="Q213" s="6"/>
      <c r="R213" s="6"/>
      <c r="S213" s="6"/>
      <c r="T213" s="6"/>
      <c r="U213" s="6"/>
      <c r="V213" s="6"/>
      <c r="W213" s="6"/>
      <c r="X213" s="6"/>
      <c r="Y213" s="22"/>
    </row>
    <row r="214" spans="2:25" x14ac:dyDescent="0.25">
      <c r="B214" s="21"/>
      <c r="C214" s="6"/>
      <c r="D214" s="102" t="s">
        <v>2532</v>
      </c>
      <c r="E214" s="6"/>
      <c r="F214" s="6"/>
      <c r="G214" s="6"/>
      <c r="H214" s="6"/>
      <c r="I214" s="6"/>
      <c r="J214" s="6"/>
      <c r="K214" s="6"/>
      <c r="L214" s="6"/>
      <c r="M214" s="6"/>
      <c r="N214" s="6"/>
      <c r="O214" s="6"/>
      <c r="P214" s="6"/>
      <c r="Q214" s="6"/>
      <c r="R214" s="6"/>
      <c r="S214" s="6"/>
      <c r="T214" s="6"/>
      <c r="U214" s="6"/>
      <c r="V214" s="6"/>
      <c r="W214" s="6"/>
      <c r="X214" s="6"/>
      <c r="Y214" s="22"/>
    </row>
    <row r="215" spans="2:25" x14ac:dyDescent="0.25">
      <c r="B215" s="21"/>
      <c r="C215" s="6"/>
      <c r="D215" s="757"/>
      <c r="E215" s="758"/>
      <c r="F215" s="758"/>
      <c r="G215" s="758"/>
      <c r="H215" s="758"/>
      <c r="I215" s="758"/>
      <c r="J215" s="758"/>
      <c r="K215" s="758"/>
      <c r="L215" s="758"/>
      <c r="M215" s="758"/>
      <c r="N215" s="758"/>
      <c r="O215" s="758"/>
      <c r="P215" s="758"/>
      <c r="Q215" s="758"/>
      <c r="R215" s="758"/>
      <c r="S215" s="758"/>
      <c r="T215" s="758"/>
      <c r="U215" s="758"/>
      <c r="V215" s="758"/>
      <c r="W215" s="758"/>
      <c r="X215" s="759"/>
      <c r="Y215" s="22"/>
    </row>
    <row r="216" spans="2:25" x14ac:dyDescent="0.25">
      <c r="B216" s="21"/>
      <c r="C216" s="6"/>
      <c r="D216" s="760"/>
      <c r="E216" s="761"/>
      <c r="F216" s="761"/>
      <c r="G216" s="761"/>
      <c r="H216" s="761"/>
      <c r="I216" s="761"/>
      <c r="J216" s="761"/>
      <c r="K216" s="761"/>
      <c r="L216" s="761"/>
      <c r="M216" s="761"/>
      <c r="N216" s="761"/>
      <c r="O216" s="761"/>
      <c r="P216" s="761"/>
      <c r="Q216" s="761"/>
      <c r="R216" s="761"/>
      <c r="S216" s="761"/>
      <c r="T216" s="761"/>
      <c r="U216" s="761"/>
      <c r="V216" s="761"/>
      <c r="W216" s="761"/>
      <c r="X216" s="762"/>
      <c r="Y216" s="22"/>
    </row>
    <row r="217" spans="2:25" x14ac:dyDescent="0.25">
      <c r="B217" s="21"/>
      <c r="C217" s="6"/>
      <c r="D217" s="760"/>
      <c r="E217" s="761"/>
      <c r="F217" s="761"/>
      <c r="G217" s="761"/>
      <c r="H217" s="761"/>
      <c r="I217" s="761"/>
      <c r="J217" s="761"/>
      <c r="K217" s="761"/>
      <c r="L217" s="761"/>
      <c r="M217" s="761"/>
      <c r="N217" s="761"/>
      <c r="O217" s="761"/>
      <c r="P217" s="761"/>
      <c r="Q217" s="761"/>
      <c r="R217" s="761"/>
      <c r="S217" s="761"/>
      <c r="T217" s="761"/>
      <c r="U217" s="761"/>
      <c r="V217" s="761"/>
      <c r="W217" s="761"/>
      <c r="X217" s="762"/>
      <c r="Y217" s="22"/>
    </row>
    <row r="218" spans="2:25" x14ac:dyDescent="0.25">
      <c r="B218" s="21"/>
      <c r="C218" s="6"/>
      <c r="D218" s="760"/>
      <c r="E218" s="761"/>
      <c r="F218" s="761"/>
      <c r="G218" s="761"/>
      <c r="H218" s="761"/>
      <c r="I218" s="761"/>
      <c r="J218" s="761"/>
      <c r="K218" s="761"/>
      <c r="L218" s="761"/>
      <c r="M218" s="761"/>
      <c r="N218" s="761"/>
      <c r="O218" s="761"/>
      <c r="P218" s="761"/>
      <c r="Q218" s="761"/>
      <c r="R218" s="761"/>
      <c r="S218" s="761"/>
      <c r="T218" s="761"/>
      <c r="U218" s="761"/>
      <c r="V218" s="761"/>
      <c r="W218" s="761"/>
      <c r="X218" s="762"/>
      <c r="Y218" s="22"/>
    </row>
    <row r="219" spans="2:25" x14ac:dyDescent="0.25">
      <c r="B219" s="21"/>
      <c r="C219" s="6"/>
      <c r="D219" s="763"/>
      <c r="E219" s="764"/>
      <c r="F219" s="764"/>
      <c r="G219" s="764"/>
      <c r="H219" s="764"/>
      <c r="I219" s="764"/>
      <c r="J219" s="764"/>
      <c r="K219" s="764"/>
      <c r="L219" s="764"/>
      <c r="M219" s="764"/>
      <c r="N219" s="764"/>
      <c r="O219" s="764"/>
      <c r="P219" s="764"/>
      <c r="Q219" s="764"/>
      <c r="R219" s="764"/>
      <c r="S219" s="764"/>
      <c r="T219" s="764"/>
      <c r="U219" s="764"/>
      <c r="V219" s="764"/>
      <c r="W219" s="764"/>
      <c r="X219" s="765"/>
      <c r="Y219" s="22"/>
    </row>
    <row r="220" spans="2:25" x14ac:dyDescent="0.25">
      <c r="B220" s="21"/>
      <c r="C220" s="6"/>
      <c r="D220" s="6"/>
      <c r="E220" s="6"/>
      <c r="F220" s="6"/>
      <c r="G220" s="6"/>
      <c r="H220" s="6"/>
      <c r="I220" s="6"/>
      <c r="J220" s="6"/>
      <c r="K220" s="6"/>
      <c r="L220" s="6"/>
      <c r="M220" s="6"/>
      <c r="N220" s="6"/>
      <c r="O220" s="6"/>
      <c r="P220" s="6"/>
      <c r="Q220" s="6"/>
      <c r="R220" s="6"/>
      <c r="S220" s="6"/>
      <c r="T220" s="6"/>
      <c r="U220" s="6"/>
      <c r="V220" s="6"/>
      <c r="W220" s="6"/>
      <c r="X220" s="6"/>
      <c r="Y220" s="22"/>
    </row>
    <row r="221" spans="2:25" ht="15.75" thickBot="1" x14ac:dyDescent="0.3">
      <c r="B221" s="24"/>
      <c r="C221" s="25"/>
      <c r="D221" s="25"/>
      <c r="E221" s="25"/>
      <c r="F221" s="25"/>
      <c r="G221" s="25"/>
      <c r="H221" s="25"/>
      <c r="I221" s="25"/>
      <c r="J221" s="25"/>
      <c r="K221" s="25"/>
      <c r="L221" s="25"/>
      <c r="M221" s="25"/>
      <c r="N221" s="25"/>
      <c r="O221" s="25"/>
      <c r="P221" s="25"/>
      <c r="Q221" s="25"/>
      <c r="R221" s="25"/>
      <c r="S221" s="25"/>
      <c r="T221" s="25"/>
      <c r="U221" s="25"/>
      <c r="V221" s="25"/>
      <c r="W221" s="25"/>
      <c r="X221" s="25"/>
      <c r="Y221" s="26"/>
    </row>
    <row r="224" spans="2:25" ht="15.75" thickBot="1" x14ac:dyDescent="0.3"/>
    <row r="225" spans="2:25" x14ac:dyDescent="0.25">
      <c r="B225" s="18"/>
      <c r="C225" s="19"/>
      <c r="D225" s="19"/>
      <c r="E225" s="19"/>
      <c r="F225" s="19"/>
      <c r="G225" s="19"/>
      <c r="H225" s="19"/>
      <c r="I225" s="19"/>
      <c r="J225" s="19"/>
      <c r="K225" s="19"/>
      <c r="L225" s="19"/>
      <c r="M225" s="19"/>
      <c r="N225" s="19"/>
      <c r="O225" s="19"/>
      <c r="P225" s="19"/>
      <c r="Q225" s="19"/>
      <c r="R225" s="19"/>
      <c r="S225" s="19"/>
      <c r="T225" s="19"/>
      <c r="U225" s="19"/>
      <c r="V225" s="19"/>
      <c r="W225" s="19"/>
      <c r="X225" s="19"/>
      <c r="Y225" s="20"/>
    </row>
    <row r="226" spans="2:25" x14ac:dyDescent="0.25">
      <c r="B226" s="21"/>
      <c r="C226" s="6"/>
      <c r="D226" s="6"/>
      <c r="E226" s="6"/>
      <c r="F226" s="6"/>
      <c r="G226" s="6"/>
      <c r="H226" s="6"/>
      <c r="I226" s="6"/>
      <c r="J226" s="6"/>
      <c r="K226" s="6"/>
      <c r="L226" s="6"/>
      <c r="M226" s="6"/>
      <c r="N226" s="6"/>
      <c r="O226" s="6"/>
      <c r="P226" s="6"/>
      <c r="Q226" s="6"/>
      <c r="R226" s="6"/>
      <c r="S226" s="6"/>
      <c r="T226" s="6"/>
      <c r="U226" s="6"/>
      <c r="V226" s="6"/>
      <c r="W226" s="6"/>
      <c r="X226" s="6"/>
      <c r="Y226" s="22"/>
    </row>
    <row r="227" spans="2:25" x14ac:dyDescent="0.25">
      <c r="B227" s="21"/>
      <c r="C227" s="46"/>
      <c r="D227" s="6"/>
      <c r="E227" s="6"/>
      <c r="F227" s="6"/>
      <c r="G227" s="6"/>
      <c r="H227" s="6"/>
      <c r="I227" s="6"/>
      <c r="N227" s="6"/>
      <c r="O227" s="6"/>
      <c r="P227" s="741" t="s">
        <v>245</v>
      </c>
      <c r="Q227" s="741"/>
      <c r="R227" s="6"/>
      <c r="S227" s="6"/>
      <c r="T227" s="6"/>
      <c r="U227" s="6"/>
      <c r="V227" s="6"/>
      <c r="W227" s="6"/>
      <c r="X227" s="6"/>
      <c r="Y227" s="22"/>
    </row>
    <row r="228" spans="2:25" x14ac:dyDescent="0.25">
      <c r="B228" s="21"/>
      <c r="C228" s="46"/>
      <c r="D228" s="6"/>
      <c r="E228" s="6"/>
      <c r="F228" s="6"/>
      <c r="G228" s="6"/>
      <c r="H228" s="6"/>
      <c r="I228" s="6"/>
      <c r="N228" s="6"/>
      <c r="O228" s="6"/>
      <c r="P228" s="474"/>
      <c r="Q228" s="474"/>
      <c r="R228" s="6"/>
      <c r="S228" s="6"/>
      <c r="T228" s="6"/>
      <c r="U228" s="6"/>
      <c r="V228" s="6"/>
      <c r="W228" s="6"/>
      <c r="X228" s="6"/>
      <c r="Y228" s="22"/>
    </row>
    <row r="229" spans="2:25" x14ac:dyDescent="0.25">
      <c r="B229" s="21"/>
      <c r="C229" s="46"/>
      <c r="D229" s="51" t="s">
        <v>2406</v>
      </c>
      <c r="E229" s="51"/>
      <c r="F229" s="51"/>
      <c r="G229" s="51"/>
      <c r="H229" s="51"/>
      <c r="I229" s="51"/>
      <c r="J229" s="51"/>
      <c r="K229" s="51"/>
      <c r="L229" s="51"/>
      <c r="M229" s="47"/>
      <c r="N229" s="896">
        <f>Surfaces!O94+Surfaces!O95</f>
        <v>0</v>
      </c>
      <c r="O229" s="1013"/>
      <c r="P229" s="474"/>
      <c r="Q229" s="474"/>
      <c r="R229" s="6"/>
      <c r="S229" s="6"/>
      <c r="T229" s="6"/>
      <c r="U229" s="6"/>
      <c r="V229" s="6"/>
      <c r="W229" s="6"/>
      <c r="X229" s="6"/>
      <c r="Y229" s="22"/>
    </row>
    <row r="230" spans="2:25" x14ac:dyDescent="0.25">
      <c r="B230" s="21"/>
      <c r="C230" s="46"/>
      <c r="D230" s="52" t="s">
        <v>2407</v>
      </c>
      <c r="E230" s="52"/>
      <c r="F230" s="52"/>
      <c r="G230" s="52"/>
      <c r="H230" s="52"/>
      <c r="I230" s="52"/>
      <c r="J230" s="52"/>
      <c r="K230" s="52"/>
      <c r="L230" s="52"/>
      <c r="M230" s="48"/>
      <c r="N230" s="896">
        <f>Surfaces!O96</f>
        <v>0</v>
      </c>
      <c r="O230" s="1013"/>
      <c r="P230" s="474"/>
      <c r="Q230" s="474"/>
      <c r="R230" s="6"/>
      <c r="S230" s="6"/>
      <c r="T230" s="6"/>
      <c r="U230" s="6"/>
      <c r="V230" s="6"/>
      <c r="W230" s="6"/>
      <c r="X230" s="6"/>
      <c r="Y230" s="22"/>
    </row>
    <row r="231" spans="2:25" x14ac:dyDescent="0.25">
      <c r="B231" s="21"/>
      <c r="C231" s="46"/>
      <c r="D231" s="52" t="s">
        <v>2408</v>
      </c>
      <c r="E231" s="52"/>
      <c r="F231" s="52"/>
      <c r="G231" s="52"/>
      <c r="H231" s="52"/>
      <c r="I231" s="52"/>
      <c r="J231" s="52"/>
      <c r="K231" s="52"/>
      <c r="L231" s="52"/>
      <c r="M231" s="48"/>
      <c r="N231" s="896">
        <f>Surfaces!O97</f>
        <v>0</v>
      </c>
      <c r="O231" s="1013"/>
      <c r="P231" s="474"/>
      <c r="Q231" s="474"/>
      <c r="R231" s="6"/>
      <c r="S231" s="6"/>
      <c r="T231" s="6"/>
      <c r="U231" s="6"/>
      <c r="V231" s="6"/>
      <c r="W231" s="6"/>
      <c r="X231" s="6"/>
      <c r="Y231" s="22"/>
    </row>
    <row r="232" spans="2:25" x14ac:dyDescent="0.25">
      <c r="B232" s="21"/>
      <c r="C232" s="46"/>
      <c r="D232" s="52" t="s">
        <v>2409</v>
      </c>
      <c r="E232" s="52"/>
      <c r="F232" s="52"/>
      <c r="G232" s="52"/>
      <c r="H232" s="52"/>
      <c r="I232" s="52"/>
      <c r="J232" s="52"/>
      <c r="K232" s="52"/>
      <c r="L232" s="52"/>
      <c r="M232" s="48"/>
      <c r="N232" s="896">
        <f>Surfaces!O115+Surfaces!O116+Surfaces!O119</f>
        <v>0</v>
      </c>
      <c r="O232" s="1013"/>
      <c r="P232" s="474"/>
      <c r="Q232" s="474"/>
      <c r="R232" s="6"/>
      <c r="S232" s="6"/>
      <c r="T232" s="6"/>
      <c r="U232" s="6"/>
      <c r="V232" s="6"/>
      <c r="W232" s="6"/>
      <c r="X232" s="6"/>
      <c r="Y232" s="22"/>
    </row>
    <row r="233" spans="2:25" x14ac:dyDescent="0.25">
      <c r="B233" s="21"/>
      <c r="C233" s="46"/>
      <c r="D233" s="52" t="s">
        <v>112</v>
      </c>
      <c r="E233" s="52"/>
      <c r="F233" s="52"/>
      <c r="G233" s="52"/>
      <c r="H233" s="52"/>
      <c r="I233" s="52"/>
      <c r="J233" s="52"/>
      <c r="K233" s="52"/>
      <c r="L233" s="52"/>
      <c r="M233" s="48"/>
      <c r="N233" s="896">
        <f>Surfaces!O89</f>
        <v>0</v>
      </c>
      <c r="O233" s="1013"/>
      <c r="P233" s="492"/>
      <c r="Q233" s="492"/>
      <c r="R233" s="6"/>
      <c r="S233" s="6"/>
      <c r="T233" s="6"/>
      <c r="U233" s="6"/>
      <c r="V233" s="6"/>
      <c r="W233" s="6"/>
      <c r="X233" s="6"/>
      <c r="Y233" s="22"/>
    </row>
    <row r="234" spans="2:25" x14ac:dyDescent="0.25">
      <c r="B234" s="21"/>
      <c r="C234" s="46"/>
      <c r="D234" s="52" t="s">
        <v>2592</v>
      </c>
      <c r="E234" s="52"/>
      <c r="F234" s="52"/>
      <c r="G234" s="52"/>
      <c r="H234" s="52"/>
      <c r="I234" s="52"/>
      <c r="J234" s="52"/>
      <c r="K234" s="52"/>
      <c r="L234" s="52"/>
      <c r="M234" s="48"/>
      <c r="N234" s="1016"/>
      <c r="O234" s="1017"/>
      <c r="P234" s="117"/>
      <c r="Q234" s="117"/>
      <c r="R234" s="6"/>
      <c r="S234" s="6"/>
      <c r="T234" s="6"/>
      <c r="U234" s="6"/>
      <c r="V234" s="6"/>
      <c r="W234" s="6"/>
      <c r="X234" s="6"/>
      <c r="Y234" s="22"/>
    </row>
    <row r="235" spans="2:25" x14ac:dyDescent="0.25">
      <c r="B235" s="21"/>
      <c r="C235" s="6"/>
      <c r="D235" s="6"/>
      <c r="E235" s="6"/>
      <c r="F235" s="6"/>
      <c r="G235" s="6"/>
      <c r="H235" s="6"/>
      <c r="I235" s="6"/>
      <c r="J235" s="6"/>
      <c r="N235" s="6"/>
      <c r="O235" s="6"/>
      <c r="P235" s="6"/>
      <c r="Q235" s="6"/>
      <c r="R235" s="6"/>
      <c r="S235" s="6"/>
      <c r="T235" s="6"/>
      <c r="U235" s="6"/>
      <c r="V235" s="6"/>
      <c r="W235" s="6"/>
      <c r="X235" s="6"/>
      <c r="Y235" s="22"/>
    </row>
    <row r="236" spans="2:25" x14ac:dyDescent="0.25">
      <c r="B236" s="21"/>
      <c r="C236" s="6"/>
      <c r="D236" s="86" t="s">
        <v>304</v>
      </c>
      <c r="E236" s="86"/>
      <c r="F236" s="86"/>
      <c r="G236" s="86"/>
      <c r="H236" s="86"/>
      <c r="I236" s="86"/>
      <c r="J236" s="44"/>
      <c r="K236" s="44"/>
      <c r="L236" s="44"/>
      <c r="M236" s="49"/>
      <c r="N236" s="896">
        <f>cSAU</f>
        <v>10</v>
      </c>
      <c r="O236" s="1013"/>
      <c r="P236" s="1023"/>
      <c r="Q236" s="992"/>
      <c r="R236" s="6"/>
      <c r="S236" s="6"/>
      <c r="T236" s="6"/>
      <c r="U236" s="6"/>
      <c r="V236" s="6"/>
      <c r="W236" s="6"/>
      <c r="X236" s="6"/>
      <c r="Y236" s="22"/>
    </row>
    <row r="237" spans="2:25" x14ac:dyDescent="0.25">
      <c r="B237" s="21"/>
      <c r="C237" s="6"/>
      <c r="D237" s="87" t="s">
        <v>612</v>
      </c>
      <c r="E237" s="87"/>
      <c r="F237" s="87"/>
      <c r="G237" s="87"/>
      <c r="H237" s="87"/>
      <c r="I237" s="87"/>
      <c r="J237" s="88"/>
      <c r="K237" s="88"/>
      <c r="L237" s="88"/>
      <c r="M237" s="89"/>
      <c r="N237" s="896">
        <f>SUM(N229:O234)</f>
        <v>0</v>
      </c>
      <c r="O237" s="1013"/>
      <c r="P237" s="1027"/>
      <c r="Q237" s="1028"/>
      <c r="R237" s="6"/>
      <c r="S237" s="6"/>
      <c r="T237" s="6"/>
      <c r="U237" s="6"/>
      <c r="V237" s="6"/>
      <c r="W237" s="770" t="s">
        <v>723</v>
      </c>
      <c r="X237" s="770"/>
      <c r="Y237" s="22"/>
    </row>
    <row r="238" spans="2:25" x14ac:dyDescent="0.25">
      <c r="B238" s="21"/>
      <c r="C238" s="6"/>
      <c r="D238" s="87" t="s">
        <v>613</v>
      </c>
      <c r="E238" s="87"/>
      <c r="F238" s="87"/>
      <c r="G238" s="87"/>
      <c r="H238" s="87"/>
      <c r="I238" s="87"/>
      <c r="J238" s="88"/>
      <c r="K238" s="88"/>
      <c r="L238" s="88"/>
      <c r="M238" s="89"/>
      <c r="N238" s="1011">
        <f>IFERROR(N237/N236,0)</f>
        <v>0</v>
      </c>
      <c r="O238" s="1011"/>
      <c r="P238" s="880">
        <f>IF(N238&gt;=0.15,4,IF(N238&gt;=0.1,3,IF(N238&gt;=0.05,2,0)))</f>
        <v>0</v>
      </c>
      <c r="Q238" s="881"/>
      <c r="R238" s="6"/>
      <c r="S238" s="6"/>
      <c r="T238" s="6"/>
      <c r="U238" s="6"/>
      <c r="V238" s="6"/>
      <c r="W238" s="771">
        <v>4</v>
      </c>
      <c r="X238" s="772"/>
      <c r="Y238" s="22"/>
    </row>
    <row r="239" spans="2:25" x14ac:dyDescent="0.25">
      <c r="B239" s="21"/>
      <c r="C239" s="6"/>
      <c r="D239" s="6"/>
      <c r="E239" s="6"/>
      <c r="F239" s="6"/>
      <c r="G239" s="6"/>
      <c r="H239" s="6"/>
      <c r="I239" s="6"/>
      <c r="J239" s="6"/>
      <c r="K239" s="6"/>
      <c r="L239" s="6"/>
      <c r="M239" s="6"/>
      <c r="N239" s="6"/>
      <c r="O239" s="6"/>
      <c r="P239" s="6"/>
      <c r="Q239" s="6"/>
      <c r="R239" s="6"/>
      <c r="S239" s="6"/>
      <c r="T239" s="6"/>
      <c r="U239" s="6"/>
      <c r="V239" s="6"/>
      <c r="W239" s="6"/>
      <c r="X239" s="6"/>
      <c r="Y239" s="22"/>
    </row>
    <row r="240" spans="2:25" x14ac:dyDescent="0.25">
      <c r="B240" s="21"/>
      <c r="C240" s="6"/>
      <c r="D240" s="6"/>
      <c r="E240" s="6"/>
      <c r="F240" s="6"/>
      <c r="G240" s="6"/>
      <c r="H240" s="6"/>
      <c r="I240" s="6"/>
      <c r="J240" s="6"/>
      <c r="K240" s="6"/>
      <c r="L240" s="6"/>
      <c r="M240" s="6"/>
      <c r="N240" s="6"/>
      <c r="O240" s="6"/>
      <c r="P240" s="6"/>
      <c r="Q240" s="6"/>
      <c r="R240" s="6"/>
      <c r="S240" s="6"/>
      <c r="T240" s="6"/>
      <c r="U240" s="6"/>
      <c r="V240" s="6"/>
      <c r="W240" s="6"/>
      <c r="X240" s="6"/>
      <c r="Y240" s="22"/>
    </row>
    <row r="241" spans="2:25" x14ac:dyDescent="0.25">
      <c r="B241" s="21"/>
      <c r="C241" s="6"/>
      <c r="D241" s="102" t="s">
        <v>2532</v>
      </c>
      <c r="E241" s="6"/>
      <c r="F241" s="6"/>
      <c r="G241" s="6"/>
      <c r="H241" s="6"/>
      <c r="I241" s="6"/>
      <c r="J241" s="6"/>
      <c r="K241" s="6"/>
      <c r="L241" s="6"/>
      <c r="M241" s="6"/>
      <c r="N241" s="6"/>
      <c r="O241" s="6"/>
      <c r="P241" s="6"/>
      <c r="Q241" s="6"/>
      <c r="R241" s="6"/>
      <c r="S241" s="6"/>
      <c r="T241" s="6"/>
      <c r="U241" s="6"/>
      <c r="V241" s="6"/>
      <c r="W241" s="6"/>
      <c r="X241" s="6"/>
      <c r="Y241" s="22"/>
    </row>
    <row r="242" spans="2:25" x14ac:dyDescent="0.25">
      <c r="B242" s="21"/>
      <c r="C242" s="6"/>
      <c r="D242" s="757"/>
      <c r="E242" s="758"/>
      <c r="F242" s="758"/>
      <c r="G242" s="758"/>
      <c r="H242" s="758"/>
      <c r="I242" s="758"/>
      <c r="J242" s="758"/>
      <c r="K242" s="758"/>
      <c r="L242" s="758"/>
      <c r="M242" s="758"/>
      <c r="N242" s="758"/>
      <c r="O242" s="758"/>
      <c r="P242" s="758"/>
      <c r="Q242" s="758"/>
      <c r="R242" s="758"/>
      <c r="S242" s="758"/>
      <c r="T242" s="758"/>
      <c r="U242" s="758"/>
      <c r="V242" s="758"/>
      <c r="W242" s="758"/>
      <c r="X242" s="759"/>
      <c r="Y242" s="22"/>
    </row>
    <row r="243" spans="2:25" x14ac:dyDescent="0.25">
      <c r="B243" s="21"/>
      <c r="C243" s="6"/>
      <c r="D243" s="760"/>
      <c r="E243" s="761"/>
      <c r="F243" s="761"/>
      <c r="G243" s="761"/>
      <c r="H243" s="761"/>
      <c r="I243" s="761"/>
      <c r="J243" s="761"/>
      <c r="K243" s="761"/>
      <c r="L243" s="761"/>
      <c r="M243" s="761"/>
      <c r="N243" s="761"/>
      <c r="O243" s="761"/>
      <c r="P243" s="761"/>
      <c r="Q243" s="761"/>
      <c r="R243" s="761"/>
      <c r="S243" s="761"/>
      <c r="T243" s="761"/>
      <c r="U243" s="761"/>
      <c r="V243" s="761"/>
      <c r="W243" s="761"/>
      <c r="X243" s="762"/>
      <c r="Y243" s="22"/>
    </row>
    <row r="244" spans="2:25" x14ac:dyDescent="0.25">
      <c r="B244" s="21"/>
      <c r="C244" s="6"/>
      <c r="D244" s="760"/>
      <c r="E244" s="761"/>
      <c r="F244" s="761"/>
      <c r="G244" s="761"/>
      <c r="H244" s="761"/>
      <c r="I244" s="761"/>
      <c r="J244" s="761"/>
      <c r="K244" s="761"/>
      <c r="L244" s="761"/>
      <c r="M244" s="761"/>
      <c r="N244" s="761"/>
      <c r="O244" s="761"/>
      <c r="P244" s="761"/>
      <c r="Q244" s="761"/>
      <c r="R244" s="761"/>
      <c r="S244" s="761"/>
      <c r="T244" s="761"/>
      <c r="U244" s="761"/>
      <c r="V244" s="761"/>
      <c r="W244" s="761"/>
      <c r="X244" s="762"/>
      <c r="Y244" s="22"/>
    </row>
    <row r="245" spans="2:25" x14ac:dyDescent="0.25">
      <c r="B245" s="21"/>
      <c r="C245" s="6"/>
      <c r="D245" s="760"/>
      <c r="E245" s="761"/>
      <c r="F245" s="761"/>
      <c r="G245" s="761"/>
      <c r="H245" s="761"/>
      <c r="I245" s="761"/>
      <c r="J245" s="761"/>
      <c r="K245" s="761"/>
      <c r="L245" s="761"/>
      <c r="M245" s="761"/>
      <c r="N245" s="761"/>
      <c r="O245" s="761"/>
      <c r="P245" s="761"/>
      <c r="Q245" s="761"/>
      <c r="R245" s="761"/>
      <c r="S245" s="761"/>
      <c r="T245" s="761"/>
      <c r="U245" s="761"/>
      <c r="V245" s="761"/>
      <c r="W245" s="761"/>
      <c r="X245" s="762"/>
      <c r="Y245" s="22"/>
    </row>
    <row r="246" spans="2:25" x14ac:dyDescent="0.25">
      <c r="B246" s="21"/>
      <c r="C246" s="6"/>
      <c r="D246" s="763"/>
      <c r="E246" s="764"/>
      <c r="F246" s="764"/>
      <c r="G246" s="764"/>
      <c r="H246" s="764"/>
      <c r="I246" s="764"/>
      <c r="J246" s="764"/>
      <c r="K246" s="764"/>
      <c r="L246" s="764"/>
      <c r="M246" s="764"/>
      <c r="N246" s="764"/>
      <c r="O246" s="764"/>
      <c r="P246" s="764"/>
      <c r="Q246" s="764"/>
      <c r="R246" s="764"/>
      <c r="S246" s="764"/>
      <c r="T246" s="764"/>
      <c r="U246" s="764"/>
      <c r="V246" s="764"/>
      <c r="W246" s="764"/>
      <c r="X246" s="765"/>
      <c r="Y246" s="22"/>
    </row>
    <row r="247" spans="2:25" x14ac:dyDescent="0.25">
      <c r="B247" s="21"/>
      <c r="C247" s="6"/>
      <c r="D247" s="6"/>
      <c r="E247" s="6"/>
      <c r="F247" s="6"/>
      <c r="G247" s="6"/>
      <c r="H247" s="6"/>
      <c r="I247" s="6"/>
      <c r="J247" s="6"/>
      <c r="K247" s="6"/>
      <c r="L247" s="6"/>
      <c r="M247" s="6"/>
      <c r="N247" s="6"/>
      <c r="O247" s="6"/>
      <c r="P247" s="6"/>
      <c r="Q247" s="6"/>
      <c r="R247" s="6"/>
      <c r="S247" s="6"/>
      <c r="T247" s="6"/>
      <c r="U247" s="6"/>
      <c r="V247" s="6"/>
      <c r="W247" s="6"/>
      <c r="X247" s="6"/>
      <c r="Y247" s="22"/>
    </row>
    <row r="248" spans="2:25" ht="15.75" thickBot="1" x14ac:dyDescent="0.3">
      <c r="B248" s="24"/>
      <c r="C248" s="25"/>
      <c r="D248" s="25"/>
      <c r="E248" s="25"/>
      <c r="F248" s="25"/>
      <c r="G248" s="25"/>
      <c r="H248" s="25"/>
      <c r="I248" s="25"/>
      <c r="J248" s="25"/>
      <c r="K248" s="25"/>
      <c r="L248" s="25"/>
      <c r="M248" s="25"/>
      <c r="N248" s="25"/>
      <c r="O248" s="25"/>
      <c r="P248" s="25"/>
      <c r="Q248" s="25"/>
      <c r="R248" s="25"/>
      <c r="S248" s="25"/>
      <c r="T248" s="25"/>
      <c r="U248" s="25"/>
      <c r="V248" s="25"/>
      <c r="W248" s="25"/>
      <c r="X248" s="25"/>
      <c r="Y248" s="26"/>
    </row>
    <row r="251" spans="2:25" ht="15.75" thickBot="1" x14ac:dyDescent="0.3"/>
    <row r="252" spans="2:25" x14ac:dyDescent="0.25">
      <c r="B252" s="18"/>
      <c r="C252" s="19"/>
      <c r="D252" s="19"/>
      <c r="E252" s="19"/>
      <c r="F252" s="19"/>
      <c r="G252" s="19"/>
      <c r="H252" s="19"/>
      <c r="I252" s="19"/>
      <c r="J252" s="19"/>
      <c r="K252" s="19"/>
      <c r="L252" s="19"/>
      <c r="M252" s="19"/>
      <c r="N252" s="19"/>
      <c r="O252" s="19"/>
      <c r="P252" s="19"/>
      <c r="Q252" s="19"/>
      <c r="R252" s="19"/>
      <c r="S252" s="19"/>
      <c r="T252" s="19"/>
      <c r="U252" s="19"/>
      <c r="V252" s="19"/>
      <c r="W252" s="19"/>
      <c r="X252" s="19"/>
      <c r="Y252" s="20"/>
    </row>
    <row r="253" spans="2:25" x14ac:dyDescent="0.25">
      <c r="B253" s="21"/>
      <c r="C253" s="6"/>
      <c r="D253" s="6"/>
      <c r="E253" s="6"/>
      <c r="F253" s="6"/>
      <c r="G253" s="6"/>
      <c r="H253" s="6"/>
      <c r="I253" s="6"/>
      <c r="J253" s="6"/>
      <c r="K253" s="6"/>
      <c r="L253" s="6"/>
      <c r="M253" s="6"/>
      <c r="N253" s="6"/>
      <c r="Q253" s="6"/>
      <c r="R253" s="6"/>
      <c r="S253" s="6"/>
      <c r="T253" s="6"/>
      <c r="U253" s="6"/>
      <c r="V253" s="6"/>
      <c r="W253" s="6"/>
      <c r="X253" s="6"/>
      <c r="Y253" s="22"/>
    </row>
    <row r="254" spans="2:25" s="499" customFormat="1" x14ac:dyDescent="0.25">
      <c r="B254" s="21"/>
      <c r="C254" s="173" t="s">
        <v>2654</v>
      </c>
      <c r="D254" s="6"/>
      <c r="E254" s="6"/>
      <c r="F254" s="6"/>
      <c r="G254" s="6"/>
      <c r="H254" s="6"/>
      <c r="I254" s="6"/>
      <c r="J254" s="6"/>
      <c r="K254" s="6"/>
      <c r="L254" s="6"/>
      <c r="M254" s="6"/>
      <c r="N254" s="6"/>
      <c r="Q254" s="6"/>
      <c r="R254" s="6"/>
      <c r="S254" s="6"/>
      <c r="T254" s="6"/>
      <c r="U254" s="6"/>
      <c r="V254" s="6"/>
      <c r="W254" s="6"/>
      <c r="X254" s="6"/>
      <c r="Y254" s="22"/>
    </row>
    <row r="255" spans="2:25" s="499" customFormat="1" x14ac:dyDescent="0.25">
      <c r="B255" s="21"/>
      <c r="C255" s="6"/>
      <c r="D255" s="6"/>
      <c r="E255" s="6"/>
      <c r="F255" s="6"/>
      <c r="G255" s="6"/>
      <c r="H255" s="6"/>
      <c r="I255" s="6"/>
      <c r="J255" s="6"/>
      <c r="K255" s="6"/>
      <c r="L255" s="6"/>
      <c r="M255" s="6"/>
      <c r="N255" s="6"/>
      <c r="Q255" s="6"/>
      <c r="R255" s="6"/>
      <c r="S255" s="6"/>
      <c r="T255" s="6"/>
      <c r="U255" s="6"/>
      <c r="V255" s="6"/>
      <c r="W255" s="6"/>
      <c r="X255" s="6"/>
      <c r="Y255" s="22"/>
    </row>
    <row r="256" spans="2:25" x14ac:dyDescent="0.25">
      <c r="B256" s="21"/>
      <c r="C256" s="46" t="s">
        <v>614</v>
      </c>
      <c r="D256" s="6"/>
      <c r="E256" s="6"/>
      <c r="F256" s="6"/>
      <c r="G256" s="6"/>
      <c r="H256" s="6"/>
      <c r="I256" s="6"/>
      <c r="J256" s="6"/>
      <c r="K256" s="6"/>
      <c r="L256" s="6"/>
      <c r="M256" s="6"/>
      <c r="N256" s="6"/>
      <c r="O256" s="6"/>
      <c r="P256" s="6"/>
      <c r="Q256" s="6"/>
      <c r="R256" s="6"/>
      <c r="S256" s="6"/>
      <c r="T256" s="6"/>
      <c r="U256" s="6"/>
      <c r="V256" s="6"/>
      <c r="W256" s="6"/>
      <c r="X256" s="6"/>
      <c r="Y256" s="22"/>
    </row>
    <row r="257" spans="2:25" s="499" customFormat="1" x14ac:dyDescent="0.25">
      <c r="B257" s="21"/>
      <c r="C257" s="224" t="s">
        <v>2636</v>
      </c>
      <c r="D257" s="6"/>
      <c r="E257" s="6"/>
      <c r="F257" s="6"/>
      <c r="G257" s="6"/>
      <c r="H257" s="6"/>
      <c r="I257" s="6"/>
      <c r="J257" s="6"/>
      <c r="K257" s="6"/>
      <c r="L257" s="6"/>
      <c r="M257" s="6"/>
      <c r="N257" s="6"/>
      <c r="O257" s="1016"/>
      <c r="P257" s="1017"/>
      <c r="Q257" s="6"/>
      <c r="R257" s="6"/>
      <c r="S257" s="6"/>
      <c r="T257" s="6"/>
      <c r="U257" s="6"/>
      <c r="V257" s="6"/>
      <c r="W257" s="6"/>
      <c r="X257" s="6"/>
      <c r="Y257" s="22"/>
    </row>
    <row r="258" spans="2:25" s="499" customFormat="1" x14ac:dyDescent="0.25">
      <c r="B258" s="21"/>
      <c r="C258" s="46" t="s">
        <v>2556</v>
      </c>
      <c r="D258" s="6"/>
      <c r="E258" s="6"/>
      <c r="F258" s="6"/>
      <c r="G258" s="6"/>
      <c r="H258" s="6"/>
      <c r="I258" s="6"/>
      <c r="J258" s="6"/>
      <c r="K258" s="6"/>
      <c r="L258" s="6"/>
      <c r="M258" s="6"/>
      <c r="N258" s="6"/>
      <c r="O258" s="6"/>
      <c r="P258" s="6"/>
      <c r="Q258" s="6"/>
      <c r="R258" s="6"/>
      <c r="S258" s="6"/>
      <c r="T258" s="6"/>
      <c r="U258" s="6"/>
      <c r="V258" s="6"/>
      <c r="W258" s="6"/>
      <c r="X258" s="6"/>
      <c r="Y258" s="22"/>
    </row>
    <row r="259" spans="2:25" s="499" customFormat="1" x14ac:dyDescent="0.25">
      <c r="B259" s="21"/>
      <c r="C259" s="581" t="s">
        <v>2637</v>
      </c>
      <c r="D259" s="6"/>
      <c r="E259" s="6"/>
      <c r="F259" s="6"/>
      <c r="G259" s="6"/>
      <c r="H259" s="6"/>
      <c r="I259" s="6"/>
      <c r="J259" s="6"/>
      <c r="K259" s="6"/>
      <c r="L259" s="6"/>
      <c r="M259" s="6"/>
      <c r="N259" s="6"/>
      <c r="O259" s="6"/>
      <c r="P259" s="6"/>
      <c r="Q259" s="6"/>
      <c r="R259" s="6"/>
      <c r="S259" s="6"/>
      <c r="T259" s="6"/>
      <c r="U259" s="6"/>
      <c r="V259" s="6"/>
      <c r="W259" s="6"/>
      <c r="X259" s="6"/>
      <c r="Y259" s="22"/>
    </row>
    <row r="260" spans="2:25" s="499" customFormat="1" x14ac:dyDescent="0.25">
      <c r="B260" s="21"/>
      <c r="D260" s="545" t="s">
        <v>2537</v>
      </c>
      <c r="E260" s="546"/>
      <c r="F260" s="546"/>
      <c r="G260" s="546"/>
      <c r="H260" s="546"/>
      <c r="I260" s="546"/>
      <c r="J260" s="546"/>
      <c r="K260" s="546"/>
      <c r="L260" s="546"/>
      <c r="M260" s="546"/>
      <c r="N260" s="546"/>
      <c r="O260" s="889" t="s">
        <v>2639</v>
      </c>
      <c r="P260" s="1032"/>
      <c r="Q260" s="1032"/>
      <c r="R260" s="1032"/>
      <c r="S260" s="1032"/>
      <c r="T260" s="888"/>
      <c r="U260" s="6"/>
      <c r="V260" s="6"/>
      <c r="W260" s="6"/>
      <c r="X260" s="6"/>
      <c r="Y260" s="22"/>
    </row>
    <row r="261" spans="2:25" s="499" customFormat="1" x14ac:dyDescent="0.25">
      <c r="B261" s="21"/>
      <c r="D261" s="545" t="s">
        <v>2538</v>
      </c>
      <c r="E261" s="546"/>
      <c r="F261" s="546"/>
      <c r="G261" s="546"/>
      <c r="H261" s="546"/>
      <c r="I261" s="546"/>
      <c r="J261" s="546"/>
      <c r="K261" s="546"/>
      <c r="L261" s="546"/>
      <c r="M261" s="546"/>
      <c r="N261" s="546"/>
      <c r="O261" s="1009"/>
      <c r="P261" s="1010"/>
      <c r="Q261" s="6"/>
      <c r="R261" s="173"/>
      <c r="S261" s="6"/>
      <c r="T261" s="6"/>
      <c r="U261" s="6"/>
      <c r="V261" s="6"/>
      <c r="W261" s="6"/>
      <c r="X261" s="6"/>
      <c r="Y261" s="22"/>
    </row>
    <row r="262" spans="2:25" s="499" customFormat="1" x14ac:dyDescent="0.25">
      <c r="B262" s="21"/>
      <c r="C262" s="581" t="s">
        <v>2638</v>
      </c>
      <c r="D262" s="6"/>
      <c r="E262" s="6"/>
      <c r="F262" s="6"/>
      <c r="G262" s="6"/>
      <c r="H262" s="6"/>
      <c r="I262" s="6"/>
      <c r="J262" s="6"/>
      <c r="K262" s="6"/>
      <c r="L262" s="6"/>
      <c r="M262" s="6"/>
      <c r="N262" s="6"/>
      <c r="O262" s="6"/>
      <c r="P262" s="6"/>
      <c r="Q262" s="6"/>
      <c r="R262" s="6"/>
      <c r="S262" s="6"/>
      <c r="T262" s="6"/>
      <c r="U262" s="6"/>
      <c r="V262" s="6"/>
      <c r="W262" s="6"/>
      <c r="X262" s="6"/>
      <c r="Y262" s="22"/>
    </row>
    <row r="263" spans="2:25" s="499" customFormat="1" x14ac:dyDescent="0.25">
      <c r="B263" s="21"/>
      <c r="D263" s="545" t="s">
        <v>2537</v>
      </c>
      <c r="E263" s="546"/>
      <c r="F263" s="546"/>
      <c r="G263" s="546"/>
      <c r="H263" s="546"/>
      <c r="I263" s="546"/>
      <c r="J263" s="546"/>
      <c r="K263" s="546"/>
      <c r="L263" s="546"/>
      <c r="M263" s="546"/>
      <c r="N263" s="546"/>
      <c r="O263" s="889" t="s">
        <v>2640</v>
      </c>
      <c r="P263" s="1032"/>
      <c r="Q263" s="1032"/>
      <c r="R263" s="1032"/>
      <c r="S263" s="1032"/>
      <c r="T263" s="888"/>
      <c r="U263" s="6"/>
      <c r="V263" s="6"/>
      <c r="W263" s="6"/>
      <c r="X263" s="6"/>
      <c r="Y263" s="22"/>
    </row>
    <row r="264" spans="2:25" s="499" customFormat="1" x14ac:dyDescent="0.25">
      <c r="B264" s="21"/>
      <c r="D264" s="545" t="s">
        <v>2538</v>
      </c>
      <c r="E264" s="546"/>
      <c r="F264" s="546"/>
      <c r="G264" s="546"/>
      <c r="H264" s="546"/>
      <c r="I264" s="546"/>
      <c r="J264" s="546"/>
      <c r="K264" s="546"/>
      <c r="L264" s="546"/>
      <c r="M264" s="546"/>
      <c r="N264" s="546"/>
      <c r="O264" s="1009"/>
      <c r="P264" s="1010"/>
      <c r="Q264" s="6"/>
      <c r="R264" s="173"/>
      <c r="S264" s="6"/>
      <c r="T264" s="6"/>
      <c r="U264" s="6"/>
      <c r="V264" s="6"/>
      <c r="W264" s="6"/>
      <c r="X264" s="6"/>
      <c r="Y264" s="22"/>
    </row>
    <row r="265" spans="2:25" s="499" customFormat="1" x14ac:dyDescent="0.25">
      <c r="B265" s="21"/>
      <c r="C265" s="46" t="s">
        <v>2593</v>
      </c>
      <c r="D265" s="547"/>
      <c r="E265" s="547"/>
      <c r="F265" s="547"/>
      <c r="G265" s="547"/>
      <c r="H265" s="547"/>
      <c r="I265" s="547"/>
      <c r="J265" s="547"/>
      <c r="K265" s="547"/>
      <c r="L265" s="547"/>
      <c r="M265" s="547"/>
      <c r="N265" s="547"/>
      <c r="O265" s="582"/>
      <c r="P265" s="582"/>
      <c r="Q265" s="6"/>
      <c r="R265" s="173"/>
      <c r="S265" s="6"/>
      <c r="T265" s="6"/>
      <c r="U265" s="6"/>
      <c r="V265" s="6"/>
      <c r="W265" s="6"/>
      <c r="X265" s="6"/>
      <c r="Y265" s="22"/>
    </row>
    <row r="266" spans="2:25" s="499" customFormat="1" x14ac:dyDescent="0.25">
      <c r="B266" s="21"/>
      <c r="C266" s="581" t="s">
        <v>2637</v>
      </c>
      <c r="D266" s="6"/>
      <c r="E266" s="6"/>
      <c r="F266" s="6"/>
      <c r="G266" s="6"/>
      <c r="H266" s="6"/>
      <c r="I266" s="6"/>
      <c r="J266" s="6"/>
      <c r="K266" s="6"/>
      <c r="L266" s="6"/>
      <c r="M266" s="6"/>
      <c r="N266" s="6"/>
      <c r="O266" s="583"/>
      <c r="P266" s="583"/>
      <c r="Q266" s="6"/>
      <c r="R266" s="6"/>
      <c r="S266" s="6"/>
      <c r="T266" s="6"/>
      <c r="U266" s="6"/>
      <c r="V266" s="6"/>
      <c r="W266" s="6"/>
      <c r="X266" s="6"/>
      <c r="Y266" s="22"/>
    </row>
    <row r="267" spans="2:25" s="499" customFormat="1" x14ac:dyDescent="0.25">
      <c r="B267" s="21"/>
      <c r="C267" s="1014" t="s">
        <v>2641</v>
      </c>
      <c r="D267" s="1014"/>
      <c r="E267" s="1014"/>
      <c r="F267" s="1014"/>
      <c r="G267" s="1014"/>
      <c r="H267" s="1014"/>
      <c r="I267" s="1014"/>
      <c r="J267" s="1014"/>
      <c r="K267" s="1014"/>
      <c r="L267" s="1014"/>
      <c r="M267" s="1014"/>
      <c r="N267" s="1015"/>
      <c r="O267" s="1033">
        <f>O257/100*O283</f>
        <v>0</v>
      </c>
      <c r="P267" s="1034"/>
      <c r="Q267" s="6"/>
      <c r="R267" s="6"/>
      <c r="S267" s="6"/>
      <c r="T267" s="6"/>
      <c r="U267" s="6"/>
      <c r="V267" s="6"/>
      <c r="W267" s="6"/>
      <c r="X267" s="6"/>
      <c r="Y267" s="22"/>
    </row>
    <row r="268" spans="2:25" ht="15" customHeight="1" x14ac:dyDescent="0.25">
      <c r="B268" s="21"/>
      <c r="C268" s="1014" t="s">
        <v>2553</v>
      </c>
      <c r="D268" s="1014"/>
      <c r="E268" s="1014"/>
      <c r="F268" s="1014"/>
      <c r="G268" s="1014"/>
      <c r="H268" s="1014"/>
      <c r="I268" s="1014"/>
      <c r="J268" s="1014"/>
      <c r="K268" s="1014"/>
      <c r="L268" s="1014"/>
      <c r="M268" s="1014"/>
      <c r="N268" s="1015"/>
      <c r="O268" s="882"/>
      <c r="P268" s="883"/>
      <c r="Q268" s="482" t="s">
        <v>390</v>
      </c>
      <c r="R268" s="483" t="str">
        <f>IF(O268&gt;O267,"Attention : surface saisie &gt; SAU hors cultures pérennes en zone vulnérable","")</f>
        <v/>
      </c>
      <c r="S268" s="6"/>
      <c r="T268" s="6"/>
      <c r="U268" s="6"/>
      <c r="V268" s="6"/>
      <c r="W268" s="6"/>
      <c r="X268" s="6"/>
      <c r="Y268" s="22"/>
    </row>
    <row r="269" spans="2:25" ht="15" customHeight="1" x14ac:dyDescent="0.25">
      <c r="B269" s="21"/>
      <c r="C269" s="239" t="s">
        <v>2594</v>
      </c>
      <c r="D269" s="239"/>
      <c r="E269" s="239"/>
      <c r="F269" s="239"/>
      <c r="G269" s="239"/>
      <c r="H269" s="239"/>
      <c r="I269" s="239"/>
      <c r="J269" s="239"/>
      <c r="K269" s="239"/>
      <c r="L269" s="239"/>
      <c r="M269" s="239"/>
      <c r="N269" s="239"/>
      <c r="O269" s="882"/>
      <c r="P269" s="883"/>
      <c r="Q269" s="6"/>
      <c r="R269" s="6"/>
      <c r="S269" s="6"/>
      <c r="T269" s="6"/>
      <c r="U269" s="6"/>
      <c r="V269" s="6"/>
      <c r="W269" s="6"/>
      <c r="X269" s="6"/>
      <c r="Y269" s="22"/>
    </row>
    <row r="270" spans="2:25" s="499" customFormat="1" x14ac:dyDescent="0.25">
      <c r="B270" s="21"/>
      <c r="C270" s="581" t="s">
        <v>2638</v>
      </c>
      <c r="D270" s="6"/>
      <c r="E270" s="6"/>
      <c r="F270" s="6"/>
      <c r="G270" s="6"/>
      <c r="H270" s="6"/>
      <c r="I270" s="6"/>
      <c r="J270" s="6"/>
      <c r="K270" s="6"/>
      <c r="L270" s="6"/>
      <c r="M270" s="6"/>
      <c r="N270" s="6"/>
      <c r="O270" s="6"/>
      <c r="P270" s="6"/>
      <c r="Q270" s="6"/>
      <c r="R270" s="6"/>
      <c r="S270" s="6"/>
      <c r="T270" s="6"/>
      <c r="U270" s="6"/>
      <c r="V270" s="6"/>
      <c r="W270" s="6"/>
      <c r="X270" s="6"/>
      <c r="Y270" s="22"/>
    </row>
    <row r="271" spans="2:25" s="499" customFormat="1" x14ac:dyDescent="0.25">
      <c r="B271" s="21"/>
      <c r="C271" s="1014" t="s">
        <v>2641</v>
      </c>
      <c r="D271" s="1014"/>
      <c r="E271" s="1014"/>
      <c r="F271" s="1014"/>
      <c r="G271" s="1014"/>
      <c r="H271" s="1014"/>
      <c r="I271" s="1014"/>
      <c r="J271" s="1014"/>
      <c r="K271" s="1014"/>
      <c r="L271" s="1014"/>
      <c r="M271" s="1014"/>
      <c r="N271" s="1015"/>
      <c r="O271" s="1033">
        <f>O283-O267</f>
        <v>10</v>
      </c>
      <c r="P271" s="1034"/>
      <c r="Q271" s="6"/>
      <c r="R271" s="6"/>
      <c r="S271" s="6"/>
      <c r="T271" s="6"/>
      <c r="U271" s="6"/>
      <c r="V271" s="6"/>
      <c r="W271" s="6"/>
      <c r="X271" s="6"/>
      <c r="Y271" s="22"/>
    </row>
    <row r="272" spans="2:25" s="499" customFormat="1" ht="15" customHeight="1" x14ac:dyDescent="0.25">
      <c r="B272" s="21"/>
      <c r="C272" s="1014" t="s">
        <v>2553</v>
      </c>
      <c r="D272" s="1014"/>
      <c r="E272" s="1014"/>
      <c r="F272" s="1014"/>
      <c r="G272" s="1014"/>
      <c r="H272" s="1014"/>
      <c r="I272" s="1014"/>
      <c r="J272" s="1014"/>
      <c r="K272" s="1014"/>
      <c r="L272" s="1014"/>
      <c r="M272" s="1014"/>
      <c r="N272" s="1015"/>
      <c r="O272" s="882"/>
      <c r="P272" s="883"/>
      <c r="Q272" s="482" t="s">
        <v>390</v>
      </c>
      <c r="R272" s="483" t="str">
        <f>IF(O272&gt;O271,"Attention : surface saisie &gt; SAU hors cultures pérennes hors zone vulnérable","")</f>
        <v/>
      </c>
      <c r="S272" s="6"/>
      <c r="T272" s="6"/>
      <c r="U272" s="6"/>
      <c r="V272" s="6"/>
      <c r="W272" s="6"/>
      <c r="X272" s="6"/>
      <c r="Y272" s="22"/>
    </row>
    <row r="273" spans="2:38" s="499" customFormat="1" ht="15" customHeight="1" x14ac:dyDescent="0.25">
      <c r="B273" s="21"/>
      <c r="C273" s="239" t="s">
        <v>2594</v>
      </c>
      <c r="D273" s="239"/>
      <c r="E273" s="239"/>
      <c r="F273" s="239"/>
      <c r="G273" s="239"/>
      <c r="H273" s="239"/>
      <c r="I273" s="239"/>
      <c r="J273" s="239"/>
      <c r="K273" s="239"/>
      <c r="L273" s="239"/>
      <c r="M273" s="239"/>
      <c r="N273" s="239"/>
      <c r="O273" s="882"/>
      <c r="P273" s="883"/>
      <c r="Q273" s="6"/>
      <c r="R273" s="6"/>
      <c r="S273" s="6"/>
      <c r="T273" s="6"/>
      <c r="U273" s="6"/>
      <c r="V273" s="6"/>
      <c r="W273" s="6"/>
      <c r="X273" s="6"/>
      <c r="Y273" s="22"/>
    </row>
    <row r="274" spans="2:38" x14ac:dyDescent="0.25">
      <c r="B274" s="21"/>
      <c r="C274" s="231"/>
      <c r="D274" s="231"/>
      <c r="E274" s="231"/>
      <c r="F274" s="231"/>
      <c r="G274" s="231"/>
      <c r="H274" s="231"/>
      <c r="I274" s="231"/>
      <c r="J274" s="231"/>
      <c r="K274" s="231"/>
      <c r="L274" s="231"/>
      <c r="M274" s="231"/>
      <c r="N274" s="231"/>
      <c r="O274" s="229"/>
      <c r="P274" s="229"/>
      <c r="Q274" s="6"/>
      <c r="R274" s="6"/>
      <c r="S274" s="6"/>
      <c r="T274" s="6"/>
      <c r="U274" s="6"/>
      <c r="V274" s="6"/>
      <c r="W274" s="6"/>
      <c r="X274" s="6"/>
      <c r="Y274" s="22"/>
    </row>
    <row r="275" spans="2:38" x14ac:dyDescent="0.25">
      <c r="B275" s="21"/>
      <c r="C275" s="46" t="s">
        <v>2595</v>
      </c>
      <c r="D275" s="6"/>
      <c r="E275" s="6"/>
      <c r="F275" s="6"/>
      <c r="G275" s="6"/>
      <c r="H275" s="6"/>
      <c r="I275" s="6"/>
      <c r="J275" s="6"/>
      <c r="K275" s="6"/>
      <c r="L275" s="6"/>
      <c r="M275" s="6"/>
      <c r="N275" s="6"/>
      <c r="O275" s="6"/>
      <c r="P275" s="6"/>
      <c r="Q275" s="6"/>
      <c r="R275" s="6"/>
      <c r="S275" s="6"/>
      <c r="T275" s="6"/>
      <c r="U275" s="6"/>
      <c r="V275" s="6"/>
      <c r="W275" s="6"/>
      <c r="X275" s="6"/>
      <c r="Y275" s="22"/>
    </row>
    <row r="276" spans="2:38" x14ac:dyDescent="0.25">
      <c r="B276" s="21"/>
      <c r="C276" s="51" t="s">
        <v>2370</v>
      </c>
      <c r="D276" s="51"/>
      <c r="E276" s="51"/>
      <c r="F276" s="51"/>
      <c r="G276" s="51"/>
      <c r="H276" s="51"/>
      <c r="I276" s="51"/>
      <c r="J276" s="51"/>
      <c r="K276" s="51"/>
      <c r="L276" s="51"/>
      <c r="M276" s="51"/>
      <c r="N276" s="47"/>
      <c r="O276" s="878">
        <f>Phyto!J305</f>
        <v>0</v>
      </c>
      <c r="P276" s="879"/>
      <c r="Q276" s="742"/>
      <c r="R276" s="742"/>
      <c r="S276" s="6"/>
      <c r="T276" s="6"/>
      <c r="U276" s="6"/>
      <c r="V276" s="6"/>
      <c r="W276" s="6"/>
      <c r="X276" s="6"/>
      <c r="Y276" s="22"/>
    </row>
    <row r="277" spans="2:38" s="499" customFormat="1" x14ac:dyDescent="0.25">
      <c r="B277" s="21"/>
      <c r="C277" s="52" t="s">
        <v>2371</v>
      </c>
      <c r="D277" s="52"/>
      <c r="E277" s="52"/>
      <c r="F277" s="52"/>
      <c r="G277" s="52"/>
      <c r="H277" s="52"/>
      <c r="I277" s="52"/>
      <c r="J277" s="52"/>
      <c r="K277" s="52"/>
      <c r="L277" s="52"/>
      <c r="M277" s="52"/>
      <c r="N277" s="48"/>
      <c r="O277" s="878">
        <f>Phyto!J306</f>
        <v>0</v>
      </c>
      <c r="P277" s="879"/>
      <c r="Q277" s="557"/>
      <c r="R277" s="557"/>
      <c r="S277" s="6"/>
      <c r="T277" s="6"/>
      <c r="U277" s="6"/>
      <c r="V277" s="6"/>
      <c r="W277" s="6"/>
      <c r="X277" s="6"/>
      <c r="Y277" s="22"/>
    </row>
    <row r="278" spans="2:38" s="499" customFormat="1" x14ac:dyDescent="0.25">
      <c r="B278" s="21"/>
      <c r="C278" s="52" t="s">
        <v>2436</v>
      </c>
      <c r="D278" s="52"/>
      <c r="E278" s="52"/>
      <c r="F278" s="52"/>
      <c r="G278" s="52"/>
      <c r="H278" s="52"/>
      <c r="I278" s="52"/>
      <c r="J278" s="52"/>
      <c r="K278" s="52"/>
      <c r="L278" s="52"/>
      <c r="M278" s="52"/>
      <c r="N278" s="48"/>
      <c r="O278" s="878">
        <f>Phyto!J307</f>
        <v>0</v>
      </c>
      <c r="P278" s="879"/>
      <c r="Q278" s="557"/>
      <c r="R278" s="557"/>
      <c r="S278" s="6"/>
      <c r="T278" s="6"/>
      <c r="U278" s="6"/>
      <c r="V278" s="6"/>
      <c r="W278" s="6"/>
      <c r="X278" s="6"/>
      <c r="Y278" s="22"/>
    </row>
    <row r="279" spans="2:38" x14ac:dyDescent="0.25">
      <c r="B279" s="21"/>
      <c r="C279" s="6"/>
      <c r="D279" s="6"/>
      <c r="E279" s="6"/>
      <c r="F279" s="6"/>
      <c r="G279" s="6"/>
      <c r="H279" s="6"/>
      <c r="I279" s="6"/>
      <c r="J279" s="6"/>
      <c r="K279" s="6"/>
      <c r="L279" s="6"/>
      <c r="M279" s="6"/>
      <c r="N279" s="6"/>
      <c r="O279" s="6"/>
      <c r="P279" s="6"/>
      <c r="Q279" s="6"/>
      <c r="R279" s="6"/>
      <c r="S279" s="6"/>
      <c r="T279" s="6"/>
      <c r="U279" s="6"/>
      <c r="V279" s="6"/>
      <c r="W279" s="6"/>
      <c r="X279" s="6"/>
      <c r="Y279" s="22"/>
    </row>
    <row r="280" spans="2:38" x14ac:dyDescent="0.25">
      <c r="B280" s="21"/>
      <c r="C280" s="6"/>
      <c r="D280" s="6"/>
      <c r="E280" s="6"/>
      <c r="F280" s="6"/>
      <c r="G280" s="6"/>
      <c r="H280" s="6"/>
      <c r="I280" s="6"/>
      <c r="J280" s="6"/>
      <c r="K280" s="6"/>
      <c r="L280" s="6"/>
      <c r="M280" s="6"/>
      <c r="N280" s="6"/>
      <c r="O280" s="6"/>
      <c r="P280" s="6"/>
      <c r="Q280" s="6"/>
      <c r="R280" s="6"/>
      <c r="S280" s="6"/>
      <c r="T280" s="6"/>
      <c r="U280" s="6"/>
      <c r="V280" s="6"/>
      <c r="W280" s="6"/>
      <c r="X280" s="6"/>
      <c r="Y280" s="22"/>
    </row>
    <row r="281" spans="2:38" x14ac:dyDescent="0.25">
      <c r="B281" s="21"/>
      <c r="C281" s="46"/>
      <c r="D281" s="6"/>
      <c r="E281" s="6"/>
      <c r="F281" s="6"/>
      <c r="G281" s="6"/>
      <c r="H281" s="6"/>
      <c r="I281" s="6"/>
      <c r="J281" s="6"/>
      <c r="K281" s="6"/>
      <c r="L281" s="6"/>
      <c r="M281" s="6"/>
      <c r="N281" s="6"/>
      <c r="O281" s="6"/>
      <c r="P281" s="6"/>
      <c r="Q281" s="741" t="s">
        <v>245</v>
      </c>
      <c r="R281" s="741"/>
      <c r="S281" s="6"/>
      <c r="T281" s="6"/>
      <c r="U281" s="6"/>
      <c r="V281" s="6"/>
      <c r="W281" s="6"/>
      <c r="X281" s="6"/>
      <c r="Y281" s="22"/>
    </row>
    <row r="282" spans="2:38" x14ac:dyDescent="0.25">
      <c r="B282" s="21"/>
      <c r="C282" s="6"/>
      <c r="D282" s="6"/>
      <c r="E282" s="6"/>
      <c r="F282" s="6"/>
      <c r="G282" s="6"/>
      <c r="H282" s="6"/>
      <c r="I282" s="6"/>
      <c r="J282" s="6"/>
      <c r="K282" s="6"/>
      <c r="L282" s="6"/>
      <c r="M282" s="6"/>
      <c r="N282" s="6"/>
      <c r="O282" s="6"/>
      <c r="P282" s="6"/>
      <c r="Q282" s="117"/>
      <c r="R282" s="117"/>
      <c r="S282" s="6"/>
      <c r="T282" s="6"/>
      <c r="U282" s="6"/>
      <c r="V282" s="6"/>
      <c r="W282" s="6"/>
      <c r="X282" s="6"/>
      <c r="Y282" s="22"/>
      <c r="AH282" t="s">
        <v>254</v>
      </c>
      <c r="AI282" t="s">
        <v>2541</v>
      </c>
      <c r="AJ282">
        <v>100</v>
      </c>
    </row>
    <row r="283" spans="2:38" x14ac:dyDescent="0.25">
      <c r="B283" s="21"/>
      <c r="C283" s="6"/>
      <c r="D283" s="86" t="s">
        <v>2410</v>
      </c>
      <c r="E283" s="86"/>
      <c r="F283" s="86"/>
      <c r="G283" s="86"/>
      <c r="H283" s="86"/>
      <c r="I283" s="86"/>
      <c r="J283" s="86"/>
      <c r="K283" s="86"/>
      <c r="L283" s="86"/>
      <c r="M283" s="86"/>
      <c r="N283" s="119"/>
      <c r="O283" s="896">
        <f>Surfaces!O24-Surfaces!O136-(SUM(Surfaces!O141:O159))-(Surfaces!O195-Surfaces!O194)</f>
        <v>10</v>
      </c>
      <c r="P283" s="1013"/>
      <c r="Q283" s="6"/>
      <c r="R283" s="6"/>
      <c r="S283" s="6"/>
      <c r="T283" s="6"/>
      <c r="U283" s="6"/>
      <c r="V283" s="6"/>
      <c r="W283" s="6"/>
      <c r="X283" s="6"/>
      <c r="Y283" s="22"/>
      <c r="AH283" t="s">
        <v>2540</v>
      </c>
      <c r="AI283">
        <f>IF(O269=9,0.5,IF(O269=10,1,IF(O269=11,1.5,IF(O269&gt;=12,2,0))))</f>
        <v>0</v>
      </c>
      <c r="AJ283">
        <f>IF(O269=9,1,IF(O269=10,2,IF(O269=11,3,IF(O269&gt;=12,4,0))))</f>
        <v>0</v>
      </c>
      <c r="AL283" s="264"/>
    </row>
    <row r="284" spans="2:38" x14ac:dyDescent="0.25">
      <c r="B284" s="21"/>
      <c r="C284" s="6"/>
      <c r="D284" s="87" t="s">
        <v>2642</v>
      </c>
      <c r="E284" s="87"/>
      <c r="F284" s="87"/>
      <c r="G284" s="87"/>
      <c r="H284" s="87"/>
      <c r="I284" s="87"/>
      <c r="J284" s="87"/>
      <c r="K284" s="87"/>
      <c r="L284" s="87"/>
      <c r="M284" s="87"/>
      <c r="N284" s="120"/>
      <c r="O284" s="1011">
        <f>IFERROR(O268/O267,0)</f>
        <v>0</v>
      </c>
      <c r="P284" s="1011"/>
      <c r="Q284" s="894">
        <f>IF(O261="Non",0,IF(O284=1,AJ283,IF(AND(O284&gt;=0.75,O284&lt;1),AI283,0)))</f>
        <v>0</v>
      </c>
      <c r="R284" s="895"/>
      <c r="S284" s="6"/>
      <c r="T284" s="6"/>
      <c r="U284" s="6"/>
      <c r="V284" s="6"/>
      <c r="W284" s="6"/>
      <c r="X284" s="6"/>
      <c r="Y284" s="22"/>
      <c r="AB284" s="183"/>
      <c r="AH284" t="s">
        <v>2539</v>
      </c>
      <c r="AI284">
        <f>IF(O273=7,0.5,IF(O273=8,1,IF(O273=9,1.5,IF(O273&gt;=10,2,0))))</f>
        <v>0</v>
      </c>
      <c r="AJ284">
        <f>IF(O273=7,1,IF(O273=8,2,IF(O273=9,3,IF(O273&gt;=10,4,0))))</f>
        <v>0</v>
      </c>
    </row>
    <row r="285" spans="2:38" s="499" customFormat="1" x14ac:dyDescent="0.25">
      <c r="B285" s="21"/>
      <c r="C285" s="6"/>
      <c r="D285" s="87" t="s">
        <v>2643</v>
      </c>
      <c r="E285" s="87"/>
      <c r="F285" s="87"/>
      <c r="G285" s="87"/>
      <c r="H285" s="87"/>
      <c r="I285" s="87"/>
      <c r="J285" s="87"/>
      <c r="K285" s="87"/>
      <c r="L285" s="87"/>
      <c r="M285" s="87"/>
      <c r="N285" s="120"/>
      <c r="O285" s="1011">
        <f>IFERROR(O272/O271,0)</f>
        <v>0</v>
      </c>
      <c r="P285" s="1011"/>
      <c r="Q285" s="894">
        <f>IF(O264="Non",0,IF(O285=1,AJ284,IF(AND(O285&gt;=0.75,O285&lt;1),AI284,0)))</f>
        <v>0</v>
      </c>
      <c r="R285" s="895"/>
      <c r="S285" s="6"/>
      <c r="T285" s="6"/>
      <c r="U285" s="6"/>
      <c r="V285" s="6"/>
      <c r="W285" s="6"/>
      <c r="X285" s="6"/>
      <c r="Y285" s="22"/>
      <c r="AB285" s="183"/>
    </row>
    <row r="286" spans="2:38" x14ac:dyDescent="0.25">
      <c r="B286" s="21"/>
      <c r="C286" s="6"/>
      <c r="D286" s="87" t="s">
        <v>2373</v>
      </c>
      <c r="E286" s="87"/>
      <c r="F286" s="87"/>
      <c r="G286" s="87"/>
      <c r="H286" s="87"/>
      <c r="I286" s="87"/>
      <c r="J286" s="87"/>
      <c r="K286" s="87"/>
      <c r="L286" s="87"/>
      <c r="M286" s="87"/>
      <c r="N286" s="120"/>
      <c r="O286" s="874">
        <f>Phyto!J315</f>
        <v>0</v>
      </c>
      <c r="P286" s="875"/>
      <c r="Q286" s="894">
        <f>Phyto!L315</f>
        <v>0</v>
      </c>
      <c r="R286" s="895"/>
      <c r="S286" s="6"/>
      <c r="T286" s="6"/>
      <c r="U286" s="6"/>
      <c r="V286" s="6"/>
      <c r="W286" s="6"/>
      <c r="X286" s="6"/>
      <c r="Y286" s="22"/>
    </row>
    <row r="287" spans="2:38" s="499" customFormat="1" x14ac:dyDescent="0.25">
      <c r="B287" s="21"/>
      <c r="C287" s="6"/>
      <c r="D287" s="87" t="s">
        <v>2374</v>
      </c>
      <c r="E287" s="87"/>
      <c r="F287" s="87"/>
      <c r="G287" s="87"/>
      <c r="H287" s="87"/>
      <c r="I287" s="87"/>
      <c r="J287" s="87"/>
      <c r="K287" s="87"/>
      <c r="L287" s="87"/>
      <c r="M287" s="87"/>
      <c r="N287" s="120"/>
      <c r="O287" s="1011">
        <f>Phyto!J316</f>
        <v>0</v>
      </c>
      <c r="P287" s="1011"/>
      <c r="Q287" s="894">
        <f>Phyto!L316</f>
        <v>0</v>
      </c>
      <c r="R287" s="895"/>
      <c r="S287" s="6"/>
      <c r="T287" s="6"/>
      <c r="U287" s="6"/>
      <c r="V287" s="6"/>
      <c r="W287" s="6"/>
      <c r="X287" s="6"/>
      <c r="Y287" s="22"/>
    </row>
    <row r="288" spans="2:38" s="499" customFormat="1" x14ac:dyDescent="0.25">
      <c r="B288" s="21"/>
      <c r="C288" s="6"/>
      <c r="D288" s="87" t="s">
        <v>2375</v>
      </c>
      <c r="E288" s="87"/>
      <c r="F288" s="87"/>
      <c r="G288" s="87"/>
      <c r="H288" s="87"/>
      <c r="I288" s="87"/>
      <c r="J288" s="87"/>
      <c r="K288" s="87"/>
      <c r="L288" s="87"/>
      <c r="M288" s="87"/>
      <c r="N288" s="120"/>
      <c r="O288" s="1011">
        <f>Phyto!J317</f>
        <v>0</v>
      </c>
      <c r="P288" s="1011"/>
      <c r="Q288" s="894">
        <f>Phyto!L317</f>
        <v>0</v>
      </c>
      <c r="R288" s="895"/>
      <c r="S288" s="6"/>
      <c r="T288" s="6"/>
      <c r="U288" s="6"/>
      <c r="V288" s="6"/>
      <c r="W288" s="6"/>
      <c r="X288" s="6"/>
      <c r="Y288" s="22"/>
    </row>
    <row r="289" spans="2:25" x14ac:dyDescent="0.25">
      <c r="B289" s="21"/>
      <c r="C289" s="6"/>
      <c r="Q289" s="173"/>
      <c r="R289" s="6"/>
      <c r="S289" s="6"/>
      <c r="T289" s="6"/>
      <c r="U289" s="6"/>
      <c r="V289" s="6"/>
      <c r="Y289" s="22"/>
    </row>
    <row r="290" spans="2:25" x14ac:dyDescent="0.25">
      <c r="B290" s="21"/>
      <c r="C290" s="6"/>
      <c r="D290" s="86" t="s">
        <v>2644</v>
      </c>
      <c r="E290" s="86"/>
      <c r="F290" s="86"/>
      <c r="G290" s="86"/>
      <c r="H290" s="86"/>
      <c r="I290" s="86"/>
      <c r="J290" s="86"/>
      <c r="K290" s="86"/>
      <c r="L290" s="86"/>
      <c r="M290" s="86"/>
      <c r="N290" s="119"/>
      <c r="O290" s="1011">
        <f>IFERROR(O267/Surfaces!O24,0)</f>
        <v>0</v>
      </c>
      <c r="P290" s="1011"/>
      <c r="Q290" s="880">
        <f>IFERROR(Q284*O290,0)</f>
        <v>0</v>
      </c>
      <c r="R290" s="881"/>
      <c r="S290" s="6"/>
      <c r="T290" s="6"/>
      <c r="U290" s="6"/>
      <c r="V290" s="6"/>
      <c r="W290" s="481"/>
      <c r="X290" s="481"/>
      <c r="Y290" s="22"/>
    </row>
    <row r="291" spans="2:25" s="499" customFormat="1" x14ac:dyDescent="0.25">
      <c r="B291" s="21"/>
      <c r="C291" s="6"/>
      <c r="D291" s="86" t="s">
        <v>2645</v>
      </c>
      <c r="E291" s="86"/>
      <c r="F291" s="86"/>
      <c r="G291" s="86"/>
      <c r="H291" s="86"/>
      <c r="I291" s="86"/>
      <c r="J291" s="86"/>
      <c r="K291" s="86"/>
      <c r="L291" s="86"/>
      <c r="M291" s="86"/>
      <c r="N291" s="119"/>
      <c r="O291" s="1011">
        <f>IFERROR(O271/Surfaces!O24,0)</f>
        <v>1</v>
      </c>
      <c r="P291" s="1011"/>
      <c r="Q291" s="880">
        <f>IFERROR(Q285*O291,0)</f>
        <v>0</v>
      </c>
      <c r="R291" s="881"/>
      <c r="S291" s="6"/>
      <c r="T291" s="6"/>
      <c r="U291" s="6"/>
      <c r="V291" s="6"/>
      <c r="W291" s="580"/>
      <c r="X291" s="580"/>
      <c r="Y291" s="22"/>
    </row>
    <row r="292" spans="2:25" x14ac:dyDescent="0.25">
      <c r="B292" s="21"/>
      <c r="C292" s="6"/>
      <c r="D292" s="87" t="s">
        <v>2596</v>
      </c>
      <c r="E292" s="87"/>
      <c r="F292" s="87"/>
      <c r="G292" s="87"/>
      <c r="H292" s="87"/>
      <c r="I292" s="87"/>
      <c r="J292" s="87"/>
      <c r="K292" s="87"/>
      <c r="L292" s="87"/>
      <c r="M292" s="87"/>
      <c r="N292" s="120"/>
      <c r="O292" s="1011">
        <f>IFERROR(Phyto!J312/cSAU,0)</f>
        <v>0</v>
      </c>
      <c r="P292" s="1011"/>
      <c r="Q292" s="880">
        <f>IFERROR(Q286*O292,0)</f>
        <v>0</v>
      </c>
      <c r="R292" s="881"/>
      <c r="S292" s="6"/>
      <c r="T292" s="6"/>
      <c r="U292" s="6"/>
      <c r="V292" s="6"/>
      <c r="Y292" s="22"/>
    </row>
    <row r="293" spans="2:25" s="499" customFormat="1" x14ac:dyDescent="0.25">
      <c r="B293" s="21"/>
      <c r="C293" s="6"/>
      <c r="D293" s="86" t="s">
        <v>2554</v>
      </c>
      <c r="E293" s="86"/>
      <c r="F293" s="86"/>
      <c r="G293" s="86"/>
      <c r="H293" s="86"/>
      <c r="I293" s="86"/>
      <c r="J293" s="86"/>
      <c r="K293" s="86"/>
      <c r="L293" s="86"/>
      <c r="M293" s="86"/>
      <c r="N293" s="86"/>
      <c r="O293" s="1011">
        <f>IFERROR(Phyto!J313/cSAU,0)</f>
        <v>0</v>
      </c>
      <c r="P293" s="1011"/>
      <c r="Q293" s="880">
        <f>IFERROR(Q287*O293,0)</f>
        <v>0</v>
      </c>
      <c r="R293" s="881"/>
      <c r="S293" s="6"/>
      <c r="T293" s="6"/>
      <c r="U293" s="6"/>
      <c r="V293" s="6"/>
      <c r="W293" s="558"/>
      <c r="X293" s="558"/>
      <c r="Y293" s="22"/>
    </row>
    <row r="294" spans="2:25" s="499" customFormat="1" x14ac:dyDescent="0.25">
      <c r="B294" s="21"/>
      <c r="C294" s="6"/>
      <c r="D294" s="86" t="s">
        <v>2555</v>
      </c>
      <c r="E294" s="86"/>
      <c r="F294" s="86"/>
      <c r="G294" s="86"/>
      <c r="H294" s="86"/>
      <c r="I294" s="86"/>
      <c r="J294" s="86"/>
      <c r="K294" s="86"/>
      <c r="L294" s="86"/>
      <c r="M294" s="86"/>
      <c r="N294" s="86"/>
      <c r="O294" s="1011">
        <f>IFERROR(Phyto!J314/cSAU,0)</f>
        <v>0</v>
      </c>
      <c r="P294" s="1011"/>
      <c r="Q294" s="880">
        <f>IFERROR(Q288*O294,0)</f>
        <v>0</v>
      </c>
      <c r="R294" s="881"/>
      <c r="S294" s="6"/>
      <c r="T294" s="6"/>
      <c r="U294" s="6"/>
      <c r="V294" s="6"/>
      <c r="W294" s="1012" t="s">
        <v>723</v>
      </c>
      <c r="X294" s="1012"/>
      <c r="Y294" s="22"/>
    </row>
    <row r="295" spans="2:25" x14ac:dyDescent="0.25">
      <c r="B295" s="21"/>
      <c r="C295" s="6"/>
      <c r="D295" s="205" t="s">
        <v>427</v>
      </c>
      <c r="E295" s="44"/>
      <c r="F295" s="44"/>
      <c r="G295" s="44"/>
      <c r="H295" s="44"/>
      <c r="I295" s="44"/>
      <c r="J295" s="44"/>
      <c r="K295" s="44"/>
      <c r="L295" s="44"/>
      <c r="M295" s="44"/>
      <c r="N295" s="44"/>
      <c r="O295" s="241"/>
      <c r="P295" s="49"/>
      <c r="Q295" s="880">
        <f>SUM(Q290:R294)</f>
        <v>0</v>
      </c>
      <c r="R295" s="881"/>
      <c r="S295" s="6"/>
      <c r="T295" s="6"/>
      <c r="U295" s="6"/>
      <c r="V295" s="6"/>
      <c r="W295" s="771">
        <f>IF(cSAU=0,7,(4*(O290+O291)+3*(O292+O293+O294)))</f>
        <v>4</v>
      </c>
      <c r="X295" s="772"/>
      <c r="Y295" s="22"/>
    </row>
    <row r="296" spans="2:25" x14ac:dyDescent="0.25">
      <c r="B296" s="21"/>
      <c r="C296" s="6"/>
      <c r="D296" s="6"/>
      <c r="E296" s="6"/>
      <c r="F296" s="6"/>
      <c r="G296" s="6"/>
      <c r="H296" s="6"/>
      <c r="I296" s="6"/>
      <c r="J296" s="6"/>
      <c r="K296" s="6"/>
      <c r="L296" s="6"/>
      <c r="M296" s="6"/>
      <c r="N296" s="6"/>
      <c r="O296" s="173"/>
      <c r="P296" s="6"/>
      <c r="Q296" s="173"/>
      <c r="R296" s="6"/>
      <c r="S296" s="6"/>
      <c r="T296" s="6"/>
      <c r="U296" s="6"/>
      <c r="V296" s="6"/>
      <c r="W296" s="6"/>
      <c r="X296" s="6"/>
      <c r="Y296" s="22"/>
    </row>
    <row r="297" spans="2:25" x14ac:dyDescent="0.25">
      <c r="B297" s="21"/>
      <c r="C297" s="6"/>
      <c r="D297" s="6"/>
      <c r="E297" s="6"/>
      <c r="F297" s="6"/>
      <c r="G297" s="6"/>
      <c r="H297" s="6"/>
      <c r="I297" s="6"/>
      <c r="J297" s="6"/>
      <c r="K297" s="6"/>
      <c r="L297" s="6"/>
      <c r="M297" s="6"/>
      <c r="N297" s="6"/>
      <c r="O297" s="173"/>
      <c r="P297" s="6"/>
      <c r="Q297" s="173"/>
      <c r="R297" s="6"/>
      <c r="S297" s="6"/>
      <c r="T297" s="6"/>
      <c r="U297" s="6"/>
      <c r="V297" s="6"/>
      <c r="W297" s="6"/>
      <c r="X297" s="6"/>
      <c r="Y297" s="22"/>
    </row>
    <row r="298" spans="2:25" x14ac:dyDescent="0.25">
      <c r="B298" s="21"/>
      <c r="C298" s="6"/>
      <c r="D298" s="102" t="s">
        <v>2532</v>
      </c>
      <c r="E298" s="6"/>
      <c r="F298" s="6"/>
      <c r="G298" s="6"/>
      <c r="H298" s="6"/>
      <c r="I298" s="6"/>
      <c r="J298" s="6"/>
      <c r="K298" s="6"/>
      <c r="L298" s="6"/>
      <c r="M298" s="6"/>
      <c r="N298" s="6"/>
      <c r="O298" s="6"/>
      <c r="P298" s="6"/>
      <c r="Q298" s="6"/>
      <c r="R298" s="6"/>
      <c r="S298" s="6"/>
      <c r="T298" s="6"/>
      <c r="U298" s="6"/>
      <c r="V298" s="6"/>
      <c r="W298" s="6"/>
      <c r="X298" s="6"/>
      <c r="Y298" s="22"/>
    </row>
    <row r="299" spans="2:25" x14ac:dyDescent="0.25">
      <c r="B299" s="21"/>
      <c r="C299" s="6"/>
      <c r="D299" s="757"/>
      <c r="E299" s="758"/>
      <c r="F299" s="758"/>
      <c r="G299" s="758"/>
      <c r="H299" s="758"/>
      <c r="I299" s="758"/>
      <c r="J299" s="758"/>
      <c r="K299" s="758"/>
      <c r="L299" s="758"/>
      <c r="M299" s="758"/>
      <c r="N299" s="758"/>
      <c r="O299" s="758"/>
      <c r="P299" s="758"/>
      <c r="Q299" s="758"/>
      <c r="R299" s="758"/>
      <c r="S299" s="758"/>
      <c r="T299" s="758"/>
      <c r="U299" s="758"/>
      <c r="V299" s="758"/>
      <c r="W299" s="758"/>
      <c r="X299" s="759"/>
      <c r="Y299" s="22"/>
    </row>
    <row r="300" spans="2:25" x14ac:dyDescent="0.25">
      <c r="B300" s="21"/>
      <c r="C300" s="6"/>
      <c r="D300" s="760"/>
      <c r="E300" s="761"/>
      <c r="F300" s="761"/>
      <c r="G300" s="761"/>
      <c r="H300" s="761"/>
      <c r="I300" s="761"/>
      <c r="J300" s="761"/>
      <c r="K300" s="761"/>
      <c r="L300" s="761"/>
      <c r="M300" s="761"/>
      <c r="N300" s="761"/>
      <c r="O300" s="761"/>
      <c r="P300" s="761"/>
      <c r="Q300" s="761"/>
      <c r="R300" s="761"/>
      <c r="S300" s="761"/>
      <c r="T300" s="761"/>
      <c r="U300" s="761"/>
      <c r="V300" s="761"/>
      <c r="W300" s="761"/>
      <c r="X300" s="762"/>
      <c r="Y300" s="22"/>
    </row>
    <row r="301" spans="2:25" x14ac:dyDescent="0.25">
      <c r="B301" s="21"/>
      <c r="C301" s="6"/>
      <c r="D301" s="760"/>
      <c r="E301" s="761"/>
      <c r="F301" s="761"/>
      <c r="G301" s="761"/>
      <c r="H301" s="761"/>
      <c r="I301" s="761"/>
      <c r="J301" s="761"/>
      <c r="K301" s="761"/>
      <c r="L301" s="761"/>
      <c r="M301" s="761"/>
      <c r="N301" s="761"/>
      <c r="O301" s="761"/>
      <c r="P301" s="761"/>
      <c r="Q301" s="761"/>
      <c r="R301" s="761"/>
      <c r="S301" s="761"/>
      <c r="T301" s="761"/>
      <c r="U301" s="761"/>
      <c r="V301" s="761"/>
      <c r="W301" s="761"/>
      <c r="X301" s="762"/>
      <c r="Y301" s="22"/>
    </row>
    <row r="302" spans="2:25" x14ac:dyDescent="0.25">
      <c r="B302" s="21"/>
      <c r="C302" s="6"/>
      <c r="D302" s="760"/>
      <c r="E302" s="761"/>
      <c r="F302" s="761"/>
      <c r="G302" s="761"/>
      <c r="H302" s="761"/>
      <c r="I302" s="761"/>
      <c r="J302" s="761"/>
      <c r="K302" s="761"/>
      <c r="L302" s="761"/>
      <c r="M302" s="761"/>
      <c r="N302" s="761"/>
      <c r="O302" s="761"/>
      <c r="P302" s="761"/>
      <c r="Q302" s="761"/>
      <c r="R302" s="761"/>
      <c r="S302" s="761"/>
      <c r="T302" s="761"/>
      <c r="U302" s="761"/>
      <c r="V302" s="761"/>
      <c r="W302" s="761"/>
      <c r="X302" s="762"/>
      <c r="Y302" s="22"/>
    </row>
    <row r="303" spans="2:25" x14ac:dyDescent="0.25">
      <c r="B303" s="21"/>
      <c r="C303" s="6"/>
      <c r="D303" s="763"/>
      <c r="E303" s="764"/>
      <c r="F303" s="764"/>
      <c r="G303" s="764"/>
      <c r="H303" s="764"/>
      <c r="I303" s="764"/>
      <c r="J303" s="764"/>
      <c r="K303" s="764"/>
      <c r="L303" s="764"/>
      <c r="M303" s="764"/>
      <c r="N303" s="764"/>
      <c r="O303" s="764"/>
      <c r="P303" s="764"/>
      <c r="Q303" s="764"/>
      <c r="R303" s="764"/>
      <c r="S303" s="764"/>
      <c r="T303" s="764"/>
      <c r="U303" s="764"/>
      <c r="V303" s="764"/>
      <c r="W303" s="764"/>
      <c r="X303" s="765"/>
      <c r="Y303" s="22"/>
    </row>
    <row r="304" spans="2:25" x14ac:dyDescent="0.25">
      <c r="B304" s="21"/>
      <c r="C304" s="6"/>
      <c r="D304" s="6"/>
      <c r="E304" s="6"/>
      <c r="F304" s="6"/>
      <c r="G304" s="6"/>
      <c r="H304" s="6"/>
      <c r="I304" s="6"/>
      <c r="J304" s="6"/>
      <c r="K304" s="6"/>
      <c r="L304" s="6"/>
      <c r="M304" s="6"/>
      <c r="N304" s="6"/>
      <c r="O304" s="173"/>
      <c r="P304" s="6"/>
      <c r="Q304" s="173"/>
      <c r="R304" s="6"/>
      <c r="S304" s="6"/>
      <c r="T304" s="6"/>
      <c r="U304" s="6"/>
      <c r="V304" s="6"/>
      <c r="W304" s="6"/>
      <c r="X304" s="6"/>
      <c r="Y304" s="22"/>
    </row>
    <row r="305" spans="2:25" ht="15.75" thickBot="1" x14ac:dyDescent="0.3">
      <c r="B305" s="24"/>
      <c r="C305" s="25"/>
      <c r="D305" s="25"/>
      <c r="E305" s="25"/>
      <c r="F305" s="25"/>
      <c r="G305" s="25"/>
      <c r="H305" s="25"/>
      <c r="I305" s="25"/>
      <c r="J305" s="25"/>
      <c r="K305" s="25"/>
      <c r="L305" s="25"/>
      <c r="M305" s="25"/>
      <c r="N305" s="25"/>
      <c r="O305" s="25"/>
      <c r="P305" s="25"/>
      <c r="Q305" s="25"/>
      <c r="R305" s="25"/>
      <c r="S305" s="25"/>
      <c r="T305" s="25"/>
      <c r="U305" s="25"/>
      <c r="V305" s="25"/>
      <c r="W305" s="25"/>
      <c r="X305" s="25"/>
      <c r="Y305" s="26"/>
    </row>
    <row r="308" spans="2:25" ht="15.75" thickBot="1" x14ac:dyDescent="0.3"/>
    <row r="309" spans="2:25" x14ac:dyDescent="0.25">
      <c r="B309" s="18"/>
      <c r="C309" s="19"/>
      <c r="D309" s="19"/>
      <c r="E309" s="19"/>
      <c r="F309" s="19"/>
      <c r="G309" s="19"/>
      <c r="H309" s="19"/>
      <c r="I309" s="19"/>
      <c r="J309" s="19"/>
      <c r="K309" s="19"/>
      <c r="L309" s="19"/>
      <c r="M309" s="19"/>
      <c r="N309" s="19"/>
      <c r="O309" s="19"/>
      <c r="P309" s="19"/>
      <c r="Q309" s="19"/>
      <c r="R309" s="19"/>
      <c r="S309" s="19"/>
      <c r="T309" s="19"/>
      <c r="U309" s="19"/>
      <c r="V309" s="19"/>
      <c r="W309" s="19"/>
      <c r="X309" s="19"/>
      <c r="Y309" s="20"/>
    </row>
    <row r="310" spans="2:25" x14ac:dyDescent="0.25">
      <c r="B310" s="21"/>
      <c r="C310" s="6"/>
      <c r="D310" s="6"/>
      <c r="E310" s="6"/>
      <c r="F310" s="6"/>
      <c r="G310" s="6"/>
      <c r="H310" s="6"/>
      <c r="I310" s="6"/>
      <c r="J310" s="6"/>
      <c r="K310" s="6"/>
      <c r="L310" s="6"/>
      <c r="M310" s="6"/>
      <c r="N310" s="6"/>
      <c r="O310" s="482"/>
      <c r="P310" s="482"/>
      <c r="Q310" s="6"/>
      <c r="R310" s="6"/>
      <c r="S310" s="6"/>
      <c r="T310" s="6"/>
      <c r="U310" s="6"/>
      <c r="V310" s="6"/>
      <c r="W310" s="6"/>
      <c r="X310" s="6"/>
      <c r="Y310" s="22"/>
    </row>
    <row r="311" spans="2:25" s="499" customFormat="1" x14ac:dyDescent="0.25">
      <c r="B311" s="21"/>
      <c r="C311" s="173" t="s">
        <v>2619</v>
      </c>
      <c r="D311" s="6"/>
      <c r="E311" s="6"/>
      <c r="F311" s="6"/>
      <c r="G311" s="6"/>
      <c r="H311" s="6"/>
      <c r="I311" s="6"/>
      <c r="J311" s="6"/>
      <c r="K311" s="6"/>
      <c r="L311" s="6"/>
      <c r="M311" s="6"/>
      <c r="N311" s="6"/>
      <c r="O311" s="482"/>
      <c r="P311" s="482"/>
      <c r="Q311" s="6"/>
      <c r="R311" s="6"/>
      <c r="S311" s="6"/>
      <c r="T311" s="6"/>
      <c r="U311" s="6"/>
      <c r="V311" s="6"/>
      <c r="W311" s="6"/>
      <c r="X311" s="6"/>
      <c r="Y311" s="22"/>
    </row>
    <row r="312" spans="2:25" x14ac:dyDescent="0.25">
      <c r="B312" s="21"/>
      <c r="C312" s="6"/>
      <c r="D312" s="6"/>
      <c r="E312" s="6"/>
      <c r="F312" s="6"/>
      <c r="G312" s="6"/>
      <c r="H312" s="6"/>
      <c r="I312" s="6"/>
      <c r="J312" s="6"/>
      <c r="K312" s="6"/>
      <c r="L312" s="6"/>
      <c r="M312" s="6"/>
      <c r="N312" s="6"/>
      <c r="O312" s="742" t="s">
        <v>345</v>
      </c>
      <c r="P312" s="742"/>
      <c r="Q312" s="6"/>
      <c r="R312" s="6"/>
      <c r="S312" s="6"/>
      <c r="T312" s="6"/>
      <c r="U312" s="6"/>
      <c r="V312" s="6"/>
      <c r="W312" s="6"/>
      <c r="X312" s="6"/>
      <c r="Y312" s="22"/>
    </row>
    <row r="313" spans="2:25" x14ac:dyDescent="0.25">
      <c r="B313" s="21"/>
      <c r="C313" s="51" t="s">
        <v>2411</v>
      </c>
      <c r="D313" s="51"/>
      <c r="E313" s="51"/>
      <c r="F313" s="51"/>
      <c r="G313" s="51"/>
      <c r="H313" s="51"/>
      <c r="I313" s="51"/>
      <c r="J313" s="51"/>
      <c r="K313" s="51"/>
      <c r="L313" s="51"/>
      <c r="M313" s="51"/>
      <c r="N313" s="47"/>
      <c r="O313" s="882"/>
      <c r="P313" s="883"/>
      <c r="Q313" s="6"/>
      <c r="R313" s="173" t="str">
        <f>IF(O313&gt;O317,"Attention : surface saisie &gt; surface en horticulture","")</f>
        <v/>
      </c>
      <c r="S313" s="6"/>
      <c r="T313" s="6"/>
      <c r="U313" s="6"/>
      <c r="V313" s="6"/>
      <c r="W313" s="6"/>
      <c r="X313" s="6"/>
      <c r="Y313" s="22"/>
    </row>
    <row r="314" spans="2:25" x14ac:dyDescent="0.25">
      <c r="B314" s="21"/>
      <c r="C314" s="6"/>
      <c r="D314" s="6"/>
      <c r="E314" s="6"/>
      <c r="F314" s="6"/>
      <c r="G314" s="6"/>
      <c r="H314" s="6"/>
      <c r="I314" s="6"/>
      <c r="J314" s="6"/>
      <c r="K314" s="6"/>
      <c r="L314" s="6"/>
      <c r="M314" s="6"/>
      <c r="N314" s="6"/>
      <c r="O314" s="6"/>
      <c r="P314" s="6"/>
      <c r="Q314" s="6"/>
      <c r="R314" s="6"/>
      <c r="S314" s="6"/>
      <c r="T314" s="6"/>
      <c r="U314" s="6"/>
      <c r="V314" s="6"/>
      <c r="W314" s="6"/>
      <c r="X314" s="6"/>
      <c r="Y314" s="22"/>
    </row>
    <row r="315" spans="2:25" x14ac:dyDescent="0.25">
      <c r="B315" s="21"/>
      <c r="C315" s="46"/>
      <c r="D315" s="6"/>
      <c r="E315" s="6"/>
      <c r="F315" s="6"/>
      <c r="G315" s="6"/>
      <c r="H315" s="6"/>
      <c r="I315" s="6"/>
      <c r="J315" s="6"/>
      <c r="K315" s="6"/>
      <c r="L315" s="6"/>
      <c r="M315" s="6"/>
      <c r="N315" s="6"/>
      <c r="O315" s="6"/>
      <c r="P315" s="6"/>
      <c r="Q315" s="741" t="s">
        <v>245</v>
      </c>
      <c r="R315" s="741"/>
      <c r="S315" s="6"/>
      <c r="T315" s="6"/>
      <c r="U315" s="6"/>
      <c r="V315" s="6"/>
      <c r="W315" s="6"/>
      <c r="X315" s="6"/>
      <c r="Y315" s="22"/>
    </row>
    <row r="316" spans="2:25" x14ac:dyDescent="0.25">
      <c r="B316" s="21"/>
      <c r="C316" s="6"/>
      <c r="D316" s="6"/>
      <c r="E316" s="6"/>
      <c r="F316" s="6"/>
      <c r="G316" s="6"/>
      <c r="H316" s="6"/>
      <c r="I316" s="6"/>
      <c r="J316" s="6"/>
      <c r="K316" s="6"/>
      <c r="L316" s="6"/>
      <c r="M316" s="6"/>
      <c r="N316" s="6"/>
      <c r="O316" s="6"/>
      <c r="P316" s="6"/>
      <c r="Q316" s="117"/>
      <c r="R316" s="117"/>
      <c r="S316" s="6"/>
      <c r="T316" s="6"/>
      <c r="U316" s="6"/>
      <c r="V316" s="6"/>
      <c r="W316" s="6"/>
      <c r="X316" s="6"/>
      <c r="Y316" s="22"/>
    </row>
    <row r="317" spans="2:25" x14ac:dyDescent="0.25">
      <c r="B317" s="21"/>
      <c r="C317" s="6"/>
      <c r="D317" s="86" t="s">
        <v>2412</v>
      </c>
      <c r="E317" s="86"/>
      <c r="F317" s="86"/>
      <c r="G317" s="86"/>
      <c r="H317" s="86"/>
      <c r="I317" s="86"/>
      <c r="J317" s="86"/>
      <c r="K317" s="86"/>
      <c r="L317" s="86"/>
      <c r="M317" s="86"/>
      <c r="N317" s="119"/>
      <c r="O317" s="878">
        <f>Surfaces!O195</f>
        <v>0</v>
      </c>
      <c r="P317" s="879"/>
      <c r="Q317" s="173"/>
      <c r="R317" s="6"/>
      <c r="S317" s="6"/>
      <c r="T317" s="6"/>
      <c r="U317" s="6"/>
      <c r="V317" s="6"/>
      <c r="Y317" s="22"/>
    </row>
    <row r="318" spans="2:25" x14ac:dyDescent="0.25">
      <c r="B318" s="21"/>
      <c r="C318" s="6"/>
      <c r="D318" s="87" t="s">
        <v>346</v>
      </c>
      <c r="E318" s="87"/>
      <c r="F318" s="87"/>
      <c r="G318" s="87"/>
      <c r="H318" s="87"/>
      <c r="I318" s="87"/>
      <c r="J318" s="87"/>
      <c r="K318" s="87"/>
      <c r="L318" s="87"/>
      <c r="M318" s="87"/>
      <c r="N318" s="120"/>
      <c r="O318" s="1011">
        <f>IFERROR(O313/O317,0)</f>
        <v>0</v>
      </c>
      <c r="P318" s="1011"/>
      <c r="S318" s="6"/>
      <c r="T318" s="6"/>
      <c r="U318" s="6"/>
      <c r="V318" s="6"/>
      <c r="Y318" s="22"/>
    </row>
    <row r="319" spans="2:25" x14ac:dyDescent="0.25">
      <c r="B319" s="21"/>
      <c r="C319" s="6"/>
      <c r="D319" s="86" t="s">
        <v>745</v>
      </c>
      <c r="E319" s="86"/>
      <c r="F319" s="86"/>
      <c r="G319" s="86"/>
      <c r="H319" s="86"/>
      <c r="I319" s="86"/>
      <c r="J319" s="86"/>
      <c r="K319" s="86"/>
      <c r="L319" s="86"/>
      <c r="M319" s="86"/>
      <c r="N319" s="86"/>
      <c r="O319" s="169"/>
      <c r="P319" s="169"/>
      <c r="Q319" s="876">
        <f>IF(AND(O318&gt;=0.25,O318&lt;0.5),2,IF(AND(O318&gt;=0.5,O318&lt;0.75),4,IF(O318&gt;=0.75,6,0)))</f>
        <v>0</v>
      </c>
      <c r="R319" s="877"/>
      <c r="S319" s="6"/>
      <c r="T319" s="6"/>
      <c r="U319" s="6"/>
      <c r="V319" s="6"/>
      <c r="W319" s="1012" t="s">
        <v>723</v>
      </c>
      <c r="X319" s="1012"/>
      <c r="Y319" s="22"/>
    </row>
    <row r="320" spans="2:25" x14ac:dyDescent="0.25">
      <c r="B320" s="21"/>
      <c r="C320" s="6"/>
      <c r="D320" s="87" t="s">
        <v>732</v>
      </c>
      <c r="E320" s="87"/>
      <c r="F320" s="87"/>
      <c r="G320" s="87"/>
      <c r="H320" s="87"/>
      <c r="I320" s="87"/>
      <c r="J320" s="87"/>
      <c r="K320" s="87"/>
      <c r="L320" s="87"/>
      <c r="M320" s="87"/>
      <c r="N320" s="87"/>
      <c r="O320" s="428"/>
      <c r="P320" s="428"/>
      <c r="Q320" s="880">
        <f>IF(cSAU=0,0,Q319* (O317/Surfaces!O24))</f>
        <v>0</v>
      </c>
      <c r="R320" s="881"/>
      <c r="S320" s="6"/>
      <c r="T320" s="6"/>
      <c r="U320" s="6"/>
      <c r="V320" s="6"/>
      <c r="W320" s="771">
        <f>IF(cSAU=0,6,6*(O317/Surfaces!O24))</f>
        <v>0</v>
      </c>
      <c r="X320" s="772"/>
      <c r="Y320" s="22"/>
    </row>
    <row r="321" spans="2:25" x14ac:dyDescent="0.25">
      <c r="B321" s="21"/>
      <c r="C321" s="6"/>
      <c r="D321" s="6"/>
      <c r="E321" s="6"/>
      <c r="F321" s="6"/>
      <c r="G321" s="6"/>
      <c r="H321" s="6"/>
      <c r="I321" s="6"/>
      <c r="J321" s="6"/>
      <c r="K321" s="6"/>
      <c r="L321" s="6"/>
      <c r="M321" s="6"/>
      <c r="N321" s="6"/>
      <c r="O321" s="6"/>
      <c r="P321" s="6"/>
      <c r="Q321" s="6"/>
      <c r="R321" s="6"/>
      <c r="S321" s="6"/>
      <c r="T321" s="6"/>
      <c r="U321" s="6"/>
      <c r="V321" s="6"/>
      <c r="W321" s="6"/>
      <c r="X321" s="6"/>
      <c r="Y321" s="22"/>
    </row>
    <row r="322" spans="2:25" x14ac:dyDescent="0.25">
      <c r="B322" s="21"/>
      <c r="C322" s="6"/>
      <c r="D322" s="6"/>
      <c r="E322" s="6"/>
      <c r="F322" s="6"/>
      <c r="G322" s="6"/>
      <c r="H322" s="6"/>
      <c r="I322" s="6"/>
      <c r="J322" s="6"/>
      <c r="K322" s="6"/>
      <c r="L322" s="6"/>
      <c r="M322" s="6"/>
      <c r="N322" s="6"/>
      <c r="O322" s="6"/>
      <c r="P322" s="6"/>
      <c r="Q322" s="6"/>
      <c r="R322" s="6"/>
      <c r="S322" s="6"/>
      <c r="T322" s="6"/>
      <c r="U322" s="6"/>
      <c r="V322" s="6"/>
      <c r="W322" s="6"/>
      <c r="X322" s="6"/>
      <c r="Y322" s="22"/>
    </row>
    <row r="323" spans="2:25" x14ac:dyDescent="0.25">
      <c r="B323" s="21"/>
      <c r="C323" s="6"/>
      <c r="D323" s="102" t="s">
        <v>2532</v>
      </c>
      <c r="E323" s="6"/>
      <c r="F323" s="6"/>
      <c r="G323" s="6"/>
      <c r="H323" s="6"/>
      <c r="I323" s="6"/>
      <c r="J323" s="6"/>
      <c r="K323" s="6"/>
      <c r="L323" s="6"/>
      <c r="M323" s="6"/>
      <c r="N323" s="6"/>
      <c r="O323" s="6"/>
      <c r="P323" s="6"/>
      <c r="Q323" s="6"/>
      <c r="R323" s="6"/>
      <c r="S323" s="6"/>
      <c r="T323" s="6"/>
      <c r="U323" s="6"/>
      <c r="V323" s="6"/>
      <c r="W323" s="6"/>
      <c r="X323" s="6"/>
      <c r="Y323" s="22"/>
    </row>
    <row r="324" spans="2:25" x14ac:dyDescent="0.25">
      <c r="B324" s="21"/>
      <c r="C324" s="6"/>
      <c r="D324" s="757"/>
      <c r="E324" s="758"/>
      <c r="F324" s="758"/>
      <c r="G324" s="758"/>
      <c r="H324" s="758"/>
      <c r="I324" s="758"/>
      <c r="J324" s="758"/>
      <c r="K324" s="758"/>
      <c r="L324" s="758"/>
      <c r="M324" s="758"/>
      <c r="N324" s="758"/>
      <c r="O324" s="758"/>
      <c r="P324" s="758"/>
      <c r="Q324" s="758"/>
      <c r="R324" s="758"/>
      <c r="S324" s="758"/>
      <c r="T324" s="758"/>
      <c r="U324" s="758"/>
      <c r="V324" s="758"/>
      <c r="W324" s="758"/>
      <c r="X324" s="759"/>
      <c r="Y324" s="22"/>
    </row>
    <row r="325" spans="2:25" x14ac:dyDescent="0.25">
      <c r="B325" s="21"/>
      <c r="C325" s="6"/>
      <c r="D325" s="760"/>
      <c r="E325" s="761"/>
      <c r="F325" s="761"/>
      <c r="G325" s="761"/>
      <c r="H325" s="761"/>
      <c r="I325" s="761"/>
      <c r="J325" s="761"/>
      <c r="K325" s="761"/>
      <c r="L325" s="761"/>
      <c r="M325" s="761"/>
      <c r="N325" s="761"/>
      <c r="O325" s="761"/>
      <c r="P325" s="761"/>
      <c r="Q325" s="761"/>
      <c r="R325" s="761"/>
      <c r="S325" s="761"/>
      <c r="T325" s="761"/>
      <c r="U325" s="761"/>
      <c r="V325" s="761"/>
      <c r="W325" s="761"/>
      <c r="X325" s="762"/>
      <c r="Y325" s="22"/>
    </row>
    <row r="326" spans="2:25" x14ac:dyDescent="0.25">
      <c r="B326" s="21"/>
      <c r="C326" s="6"/>
      <c r="D326" s="760"/>
      <c r="E326" s="761"/>
      <c r="F326" s="761"/>
      <c r="G326" s="761"/>
      <c r="H326" s="761"/>
      <c r="I326" s="761"/>
      <c r="J326" s="761"/>
      <c r="K326" s="761"/>
      <c r="L326" s="761"/>
      <c r="M326" s="761"/>
      <c r="N326" s="761"/>
      <c r="O326" s="761"/>
      <c r="P326" s="761"/>
      <c r="Q326" s="761"/>
      <c r="R326" s="761"/>
      <c r="S326" s="761"/>
      <c r="T326" s="761"/>
      <c r="U326" s="761"/>
      <c r="V326" s="761"/>
      <c r="W326" s="761"/>
      <c r="X326" s="762"/>
      <c r="Y326" s="22"/>
    </row>
    <row r="327" spans="2:25" x14ac:dyDescent="0.25">
      <c r="B327" s="21"/>
      <c r="C327" s="6"/>
      <c r="D327" s="760"/>
      <c r="E327" s="761"/>
      <c r="F327" s="761"/>
      <c r="G327" s="761"/>
      <c r="H327" s="761"/>
      <c r="I327" s="761"/>
      <c r="J327" s="761"/>
      <c r="K327" s="761"/>
      <c r="L327" s="761"/>
      <c r="M327" s="761"/>
      <c r="N327" s="761"/>
      <c r="O327" s="761"/>
      <c r="P327" s="761"/>
      <c r="Q327" s="761"/>
      <c r="R327" s="761"/>
      <c r="S327" s="761"/>
      <c r="T327" s="761"/>
      <c r="U327" s="761"/>
      <c r="V327" s="761"/>
      <c r="W327" s="761"/>
      <c r="X327" s="762"/>
      <c r="Y327" s="22"/>
    </row>
    <row r="328" spans="2:25" x14ac:dyDescent="0.25">
      <c r="B328" s="21"/>
      <c r="C328" s="6"/>
      <c r="D328" s="763"/>
      <c r="E328" s="764"/>
      <c r="F328" s="764"/>
      <c r="G328" s="764"/>
      <c r="H328" s="764"/>
      <c r="I328" s="764"/>
      <c r="J328" s="764"/>
      <c r="K328" s="764"/>
      <c r="L328" s="764"/>
      <c r="M328" s="764"/>
      <c r="N328" s="764"/>
      <c r="O328" s="764"/>
      <c r="P328" s="764"/>
      <c r="Q328" s="764"/>
      <c r="R328" s="764"/>
      <c r="S328" s="764"/>
      <c r="T328" s="764"/>
      <c r="U328" s="764"/>
      <c r="V328" s="764"/>
      <c r="W328" s="764"/>
      <c r="X328" s="765"/>
      <c r="Y328" s="22"/>
    </row>
    <row r="329" spans="2:25" x14ac:dyDescent="0.25">
      <c r="B329" s="21"/>
      <c r="C329" s="6"/>
      <c r="D329" s="6"/>
      <c r="E329" s="6"/>
      <c r="F329" s="6"/>
      <c r="G329" s="6"/>
      <c r="H329" s="6"/>
      <c r="I329" s="6"/>
      <c r="J329" s="6"/>
      <c r="K329" s="6"/>
      <c r="L329" s="6"/>
      <c r="M329" s="6"/>
      <c r="N329" s="6"/>
      <c r="O329" s="6"/>
      <c r="P329" s="6"/>
      <c r="Q329" s="6"/>
      <c r="R329" s="6"/>
      <c r="S329" s="6"/>
      <c r="T329" s="6"/>
      <c r="U329" s="6"/>
      <c r="V329" s="6"/>
      <c r="W329" s="6"/>
      <c r="X329" s="6"/>
      <c r="Y329" s="22"/>
    </row>
    <row r="330" spans="2:25" ht="15.75" thickBot="1" x14ac:dyDescent="0.3">
      <c r="B330" s="24"/>
      <c r="C330" s="25"/>
      <c r="D330" s="25"/>
      <c r="E330" s="25"/>
      <c r="F330" s="25"/>
      <c r="G330" s="25"/>
      <c r="H330" s="25"/>
      <c r="I330" s="25"/>
      <c r="J330" s="25"/>
      <c r="K330" s="25"/>
      <c r="L330" s="25"/>
      <c r="M330" s="25"/>
      <c r="N330" s="25"/>
      <c r="O330" s="25"/>
      <c r="P330" s="25"/>
      <c r="Q330" s="25"/>
      <c r="R330" s="25"/>
      <c r="S330" s="25"/>
      <c r="T330" s="25"/>
      <c r="U330" s="25"/>
      <c r="V330" s="25"/>
      <c r="W330" s="25"/>
      <c r="X330" s="25"/>
      <c r="Y330" s="26"/>
    </row>
    <row r="333" spans="2:25" ht="15.75" thickBot="1" x14ac:dyDescent="0.3"/>
    <row r="334" spans="2:25" x14ac:dyDescent="0.25">
      <c r="B334" s="18"/>
      <c r="C334" s="19"/>
      <c r="D334" s="19"/>
      <c r="E334" s="19"/>
      <c r="F334" s="19"/>
      <c r="G334" s="19"/>
      <c r="H334" s="19"/>
      <c r="I334" s="19"/>
      <c r="J334" s="19"/>
      <c r="K334" s="19"/>
      <c r="L334" s="19"/>
      <c r="M334" s="19"/>
      <c r="N334" s="19"/>
      <c r="O334" s="19"/>
      <c r="P334" s="19"/>
      <c r="Q334" s="19"/>
      <c r="R334" s="19"/>
      <c r="S334" s="19"/>
      <c r="T334" s="19"/>
      <c r="U334" s="19"/>
      <c r="V334" s="19"/>
      <c r="W334" s="19"/>
      <c r="X334" s="19"/>
      <c r="Y334" s="20"/>
    </row>
    <row r="335" spans="2:25" x14ac:dyDescent="0.25">
      <c r="B335" s="21"/>
      <c r="C335" s="6"/>
      <c r="D335" s="6"/>
      <c r="E335" s="6"/>
      <c r="F335" s="6"/>
      <c r="G335" s="6"/>
      <c r="H335" s="6"/>
      <c r="I335" s="6"/>
      <c r="J335" s="6"/>
      <c r="K335" s="6"/>
      <c r="L335" s="6"/>
      <c r="M335" s="6"/>
      <c r="N335" s="6"/>
      <c r="O335" s="6"/>
      <c r="P335" s="6"/>
      <c r="Q335" s="6"/>
      <c r="R335" s="6"/>
      <c r="S335" s="6"/>
      <c r="T335" s="6"/>
      <c r="U335" s="6"/>
      <c r="V335" s="6"/>
      <c r="W335" s="6"/>
      <c r="X335" s="6"/>
      <c r="Y335" s="22"/>
    </row>
    <row r="336" spans="2:25" x14ac:dyDescent="0.25">
      <c r="B336" s="21"/>
      <c r="C336" s="173" t="s">
        <v>2606</v>
      </c>
      <c r="D336" s="6"/>
      <c r="E336" s="6"/>
      <c r="F336" s="6"/>
      <c r="G336" s="6"/>
      <c r="H336" s="6"/>
      <c r="I336" s="6"/>
      <c r="J336" s="6"/>
      <c r="K336" s="6"/>
      <c r="L336" s="6"/>
      <c r="M336" s="6"/>
      <c r="N336" s="6"/>
      <c r="O336" s="6"/>
      <c r="P336" s="6"/>
      <c r="Q336" s="6"/>
      <c r="R336" s="6"/>
      <c r="S336" s="6"/>
      <c r="T336" s="6"/>
      <c r="U336" s="6"/>
      <c r="V336" s="6"/>
      <c r="W336" s="6"/>
      <c r="X336" s="6"/>
      <c r="Y336" s="22"/>
    </row>
    <row r="337" spans="2:25" x14ac:dyDescent="0.25">
      <c r="B337" s="21"/>
      <c r="C337" s="6"/>
      <c r="D337" s="6"/>
      <c r="E337" s="6"/>
      <c r="F337" s="6"/>
      <c r="G337" s="6"/>
      <c r="H337" s="6"/>
      <c r="I337" s="6"/>
      <c r="J337" s="6"/>
      <c r="K337" s="6"/>
      <c r="L337" s="692" t="s">
        <v>345</v>
      </c>
      <c r="M337" s="692"/>
      <c r="N337" s="6"/>
      <c r="O337" s="6"/>
      <c r="P337" s="6"/>
      <c r="Q337" s="6"/>
      <c r="R337" s="6"/>
      <c r="S337" s="6"/>
      <c r="T337" s="6"/>
      <c r="U337" s="6"/>
      <c r="V337" s="6"/>
      <c r="W337" s="6"/>
      <c r="X337" s="6"/>
      <c r="Y337" s="22"/>
    </row>
    <row r="338" spans="2:25" x14ac:dyDescent="0.25">
      <c r="B338" s="21"/>
      <c r="C338" s="46" t="s">
        <v>2443</v>
      </c>
      <c r="D338" s="6"/>
      <c r="E338" s="6"/>
      <c r="F338" s="6"/>
      <c r="G338" s="6"/>
      <c r="H338" s="6"/>
      <c r="I338" s="6"/>
      <c r="J338" s="6"/>
      <c r="K338" s="6"/>
      <c r="L338" s="6"/>
      <c r="M338" s="6"/>
      <c r="N338" s="6"/>
      <c r="O338" s="6"/>
      <c r="P338" s="6"/>
      <c r="Q338" s="6"/>
      <c r="R338" s="6"/>
      <c r="S338" s="6"/>
      <c r="T338" s="6"/>
      <c r="U338" s="6"/>
      <c r="V338" s="6"/>
      <c r="W338" s="6"/>
      <c r="X338" s="6"/>
      <c r="Y338" s="22"/>
    </row>
    <row r="339" spans="2:25" x14ac:dyDescent="0.25">
      <c r="B339" s="21"/>
      <c r="C339" s="6"/>
      <c r="D339" s="51" t="s">
        <v>2413</v>
      </c>
      <c r="E339" s="51"/>
      <c r="F339" s="51"/>
      <c r="G339" s="51"/>
      <c r="H339" s="51"/>
      <c r="I339" s="51"/>
      <c r="J339" s="51"/>
      <c r="K339" s="47"/>
      <c r="L339" s="878">
        <f>Phyto!L343</f>
        <v>0</v>
      </c>
      <c r="M339" s="879"/>
      <c r="N339" s="6"/>
      <c r="O339" s="173"/>
      <c r="P339" s="6"/>
      <c r="Q339" s="6"/>
      <c r="R339" s="6"/>
      <c r="S339" s="6"/>
      <c r="T339" s="6"/>
      <c r="U339" s="6"/>
      <c r="V339" s="6"/>
      <c r="W339" s="6"/>
      <c r="X339" s="6"/>
      <c r="Y339" s="22"/>
    </row>
    <row r="340" spans="2:25" x14ac:dyDescent="0.25">
      <c r="B340" s="21"/>
      <c r="C340" s="6"/>
      <c r="D340" s="52" t="s">
        <v>347</v>
      </c>
      <c r="E340" s="52"/>
      <c r="F340" s="52"/>
      <c r="G340" s="52"/>
      <c r="H340" s="52"/>
      <c r="I340" s="52"/>
      <c r="J340" s="52"/>
      <c r="K340" s="48"/>
      <c r="L340" s="878">
        <f>Phyto!L344</f>
        <v>0</v>
      </c>
      <c r="M340" s="879"/>
      <c r="N340" s="6"/>
      <c r="O340" s="6"/>
      <c r="P340" s="6"/>
      <c r="Q340" s="6"/>
      <c r="R340" s="6"/>
      <c r="S340" s="6"/>
      <c r="T340" s="6"/>
      <c r="U340" s="6"/>
      <c r="V340" s="6"/>
      <c r="W340" s="6"/>
      <c r="X340" s="6"/>
      <c r="Y340" s="22"/>
    </row>
    <row r="341" spans="2:25" x14ac:dyDescent="0.25">
      <c r="B341" s="21"/>
      <c r="C341" s="6"/>
      <c r="D341" s="6"/>
      <c r="E341" s="6"/>
      <c r="F341" s="6"/>
      <c r="G341" s="6"/>
      <c r="H341" s="6"/>
      <c r="I341" s="6"/>
      <c r="J341" s="6"/>
      <c r="K341" s="6"/>
      <c r="L341" s="6"/>
      <c r="M341" s="6"/>
      <c r="N341" s="6"/>
      <c r="O341" s="6"/>
      <c r="P341" s="6"/>
      <c r="Q341" s="6"/>
      <c r="R341" s="6"/>
      <c r="S341" s="6"/>
      <c r="T341" s="6"/>
      <c r="U341" s="6"/>
      <c r="V341" s="6"/>
      <c r="W341" s="6"/>
      <c r="X341" s="6"/>
      <c r="Y341" s="22"/>
    </row>
    <row r="342" spans="2:25" x14ac:dyDescent="0.25">
      <c r="B342" s="21"/>
      <c r="C342" s="46"/>
      <c r="D342" s="6"/>
      <c r="E342" s="6"/>
      <c r="F342" s="6"/>
      <c r="G342" s="6"/>
      <c r="H342" s="6"/>
      <c r="I342" s="6"/>
      <c r="J342" s="6"/>
      <c r="K342" s="6"/>
      <c r="L342" s="6"/>
      <c r="M342" s="6"/>
      <c r="N342" s="6"/>
      <c r="O342" s="6"/>
      <c r="P342" s="6"/>
      <c r="Q342" s="6"/>
      <c r="R342" s="6"/>
      <c r="S342" s="6"/>
      <c r="T342" s="6"/>
      <c r="U342" s="6"/>
      <c r="V342" s="6"/>
      <c r="W342" s="6"/>
      <c r="X342" s="6"/>
      <c r="Y342" s="22"/>
    </row>
    <row r="343" spans="2:25" x14ac:dyDescent="0.25">
      <c r="B343" s="21"/>
      <c r="C343" s="6"/>
      <c r="D343" s="6"/>
      <c r="E343" s="6"/>
      <c r="F343" s="6"/>
      <c r="G343" s="6"/>
      <c r="H343" s="6"/>
      <c r="I343" s="6"/>
      <c r="J343" s="6"/>
      <c r="K343" s="6"/>
      <c r="L343" s="6"/>
      <c r="M343" s="6"/>
      <c r="N343" s="741" t="s">
        <v>245</v>
      </c>
      <c r="O343" s="741"/>
      <c r="P343" s="6"/>
      <c r="Q343" s="6"/>
      <c r="R343" s="6"/>
      <c r="S343" s="6"/>
      <c r="T343" s="6"/>
      <c r="U343" s="6"/>
      <c r="V343" s="6"/>
      <c r="W343" s="6"/>
      <c r="X343" s="6"/>
      <c r="Y343" s="22"/>
    </row>
    <row r="344" spans="2:25" x14ac:dyDescent="0.25">
      <c r="B344" s="21"/>
      <c r="C344" s="6"/>
      <c r="D344" s="86" t="s">
        <v>2414</v>
      </c>
      <c r="E344" s="86"/>
      <c r="F344" s="86"/>
      <c r="G344" s="86"/>
      <c r="H344" s="86"/>
      <c r="I344" s="86"/>
      <c r="J344" s="86"/>
      <c r="K344" s="119"/>
      <c r="L344" s="878">
        <f>Surfaces!O194</f>
        <v>0</v>
      </c>
      <c r="M344" s="879"/>
      <c r="N344" s="117"/>
      <c r="O344" s="117"/>
      <c r="P344" s="6"/>
      <c r="Q344" s="6"/>
      <c r="R344" s="6"/>
      <c r="S344" s="6"/>
      <c r="T344" s="6"/>
      <c r="U344" s="6"/>
      <c r="V344" s="6"/>
      <c r="W344" s="6"/>
      <c r="X344" s="6"/>
      <c r="Y344" s="22"/>
    </row>
    <row r="345" spans="2:25" x14ac:dyDescent="0.25">
      <c r="B345" s="21"/>
      <c r="C345" s="6"/>
      <c r="D345" s="87" t="s">
        <v>2378</v>
      </c>
      <c r="E345" s="87"/>
      <c r="F345" s="87"/>
      <c r="G345" s="87"/>
      <c r="H345" s="87"/>
      <c r="I345" s="87"/>
      <c r="J345" s="87"/>
      <c r="K345" s="120"/>
      <c r="L345" s="874">
        <f>Phyto!L351</f>
        <v>0</v>
      </c>
      <c r="M345" s="875"/>
      <c r="N345" s="976">
        <f>Phyto!N351</f>
        <v>0</v>
      </c>
      <c r="O345" s="998"/>
      <c r="P345" s="6"/>
      <c r="Q345" s="6"/>
      <c r="R345" s="6"/>
      <c r="S345" s="6"/>
      <c r="T345" s="6"/>
      <c r="U345" s="6"/>
      <c r="V345" s="6"/>
      <c r="W345" s="6"/>
      <c r="X345" s="6"/>
      <c r="Y345" s="22"/>
    </row>
    <row r="346" spans="2:25" x14ac:dyDescent="0.25">
      <c r="B346" s="21"/>
      <c r="C346" s="6"/>
      <c r="D346" s="87" t="s">
        <v>2379</v>
      </c>
      <c r="E346" s="87"/>
      <c r="F346" s="87"/>
      <c r="G346" s="87"/>
      <c r="H346" s="87"/>
      <c r="I346" s="87"/>
      <c r="J346" s="87"/>
      <c r="K346" s="120"/>
      <c r="L346" s="874">
        <f>Phyto!L352</f>
        <v>0</v>
      </c>
      <c r="M346" s="875"/>
      <c r="N346" s="976">
        <f>Phyto!N352</f>
        <v>0</v>
      </c>
      <c r="O346" s="998"/>
      <c r="P346" s="6"/>
      <c r="Q346" s="6"/>
      <c r="R346" s="6"/>
      <c r="S346" s="6"/>
      <c r="T346" s="6"/>
      <c r="U346" s="6"/>
      <c r="V346" s="6"/>
      <c r="W346" s="6"/>
      <c r="X346" s="6"/>
      <c r="Y346" s="22"/>
    </row>
    <row r="347" spans="2:25" x14ac:dyDescent="0.25">
      <c r="B347" s="21"/>
      <c r="C347" s="6"/>
      <c r="D347" s="6"/>
      <c r="E347" s="6"/>
      <c r="F347" s="6"/>
      <c r="G347" s="6"/>
      <c r="H347" s="6"/>
      <c r="I347" s="6"/>
      <c r="J347" s="6"/>
      <c r="K347" s="6"/>
      <c r="L347" s="6"/>
      <c r="M347" s="6"/>
      <c r="N347" s="6"/>
      <c r="O347" s="6"/>
      <c r="P347" s="6"/>
      <c r="Q347" s="6"/>
      <c r="R347" s="6"/>
      <c r="S347" s="6"/>
      <c r="T347" s="6"/>
      <c r="U347" s="6"/>
      <c r="V347" s="6"/>
      <c r="W347" s="1012" t="s">
        <v>723</v>
      </c>
      <c r="X347" s="1012"/>
      <c r="Y347" s="22"/>
    </row>
    <row r="348" spans="2:25" x14ac:dyDescent="0.25">
      <c r="B348" s="21"/>
      <c r="C348" s="6"/>
      <c r="D348" s="186" t="s">
        <v>427</v>
      </c>
      <c r="E348" s="44"/>
      <c r="F348" s="44"/>
      <c r="G348" s="44"/>
      <c r="H348" s="44"/>
      <c r="I348" s="44"/>
      <c r="J348" s="44"/>
      <c r="K348" s="44"/>
      <c r="L348" s="44"/>
      <c r="M348" s="49"/>
      <c r="N348" s="880">
        <f>IF(cSAU=0,0,SUM(N345:O346)*(L344/Surfaces!O24))</f>
        <v>0</v>
      </c>
      <c r="O348" s="881"/>
      <c r="P348" s="6"/>
      <c r="Q348" s="6"/>
      <c r="R348" s="6"/>
      <c r="S348" s="6"/>
      <c r="T348" s="6"/>
      <c r="U348" s="6"/>
      <c r="V348" s="6"/>
      <c r="W348" s="771">
        <f>IF(cSAU=0,7,7*L344/Surfaces!O24)</f>
        <v>0</v>
      </c>
      <c r="X348" s="772"/>
      <c r="Y348" s="22"/>
    </row>
    <row r="349" spans="2:25" x14ac:dyDescent="0.25">
      <c r="B349" s="21"/>
      <c r="C349" s="6"/>
      <c r="D349" s="6"/>
      <c r="E349" s="6"/>
      <c r="F349" s="6"/>
      <c r="G349" s="6"/>
      <c r="H349" s="6"/>
      <c r="I349" s="6"/>
      <c r="J349" s="6"/>
      <c r="K349" s="6"/>
      <c r="L349" s="6"/>
      <c r="M349" s="6"/>
      <c r="N349" s="6"/>
      <c r="O349" s="6"/>
      <c r="P349" s="6"/>
      <c r="Q349" s="6"/>
      <c r="R349" s="6"/>
      <c r="S349" s="6"/>
      <c r="T349" s="6"/>
      <c r="U349" s="6"/>
      <c r="V349" s="6"/>
      <c r="W349" s="6"/>
      <c r="X349" s="6"/>
      <c r="Y349" s="22"/>
    </row>
    <row r="350" spans="2:25" x14ac:dyDescent="0.25">
      <c r="B350" s="21"/>
      <c r="C350" s="6"/>
      <c r="D350" s="6"/>
      <c r="E350" s="6"/>
      <c r="F350" s="6"/>
      <c r="G350" s="6"/>
      <c r="H350" s="6"/>
      <c r="I350" s="6"/>
      <c r="J350" s="6"/>
      <c r="K350" s="6"/>
      <c r="L350" s="6"/>
      <c r="M350" s="6"/>
      <c r="N350" s="6"/>
      <c r="O350" s="6"/>
      <c r="P350" s="6"/>
      <c r="Q350" s="6"/>
      <c r="R350" s="6"/>
      <c r="S350" s="6"/>
      <c r="T350" s="6"/>
      <c r="U350" s="6"/>
      <c r="V350" s="6"/>
      <c r="W350" s="6"/>
      <c r="X350" s="6"/>
      <c r="Y350" s="22"/>
    </row>
    <row r="351" spans="2:25" x14ac:dyDescent="0.25">
      <c r="B351" s="21"/>
      <c r="C351" s="6"/>
      <c r="D351" s="102" t="s">
        <v>2532</v>
      </c>
      <c r="E351" s="6"/>
      <c r="F351" s="6"/>
      <c r="G351" s="6"/>
      <c r="H351" s="6"/>
      <c r="I351" s="6"/>
      <c r="J351" s="6"/>
      <c r="K351" s="6"/>
      <c r="L351" s="6"/>
      <c r="M351" s="6"/>
      <c r="N351" s="6"/>
      <c r="O351" s="6"/>
      <c r="P351" s="6"/>
      <c r="Q351" s="6"/>
      <c r="R351" s="6"/>
      <c r="S351" s="6"/>
      <c r="T351" s="6"/>
      <c r="U351" s="6"/>
      <c r="V351" s="6"/>
      <c r="W351" s="6"/>
      <c r="X351" s="6"/>
      <c r="Y351" s="22"/>
    </row>
    <row r="352" spans="2:25" x14ac:dyDescent="0.25">
      <c r="B352" s="21"/>
      <c r="C352" s="6"/>
      <c r="D352" s="757"/>
      <c r="E352" s="758"/>
      <c r="F352" s="758"/>
      <c r="G352" s="758"/>
      <c r="H352" s="758"/>
      <c r="I352" s="758"/>
      <c r="J352" s="758"/>
      <c r="K352" s="758"/>
      <c r="L352" s="758"/>
      <c r="M352" s="758"/>
      <c r="N352" s="758"/>
      <c r="O352" s="758"/>
      <c r="P352" s="758"/>
      <c r="Q352" s="758"/>
      <c r="R352" s="758"/>
      <c r="S352" s="758"/>
      <c r="T352" s="758"/>
      <c r="U352" s="758"/>
      <c r="V352" s="758"/>
      <c r="W352" s="758"/>
      <c r="X352" s="759"/>
      <c r="Y352" s="22"/>
    </row>
    <row r="353" spans="2:25" x14ac:dyDescent="0.25">
      <c r="B353" s="21"/>
      <c r="C353" s="6"/>
      <c r="D353" s="760"/>
      <c r="E353" s="761"/>
      <c r="F353" s="761"/>
      <c r="G353" s="761"/>
      <c r="H353" s="761"/>
      <c r="I353" s="761"/>
      <c r="J353" s="761"/>
      <c r="K353" s="761"/>
      <c r="L353" s="761"/>
      <c r="M353" s="761"/>
      <c r="N353" s="761"/>
      <c r="O353" s="761"/>
      <c r="P353" s="761"/>
      <c r="Q353" s="761"/>
      <c r="R353" s="761"/>
      <c r="S353" s="761"/>
      <c r="T353" s="761"/>
      <c r="U353" s="761"/>
      <c r="V353" s="761"/>
      <c r="W353" s="761"/>
      <c r="X353" s="762"/>
      <c r="Y353" s="22"/>
    </row>
    <row r="354" spans="2:25" x14ac:dyDescent="0.25">
      <c r="B354" s="21"/>
      <c r="C354" s="6"/>
      <c r="D354" s="760"/>
      <c r="E354" s="761"/>
      <c r="F354" s="761"/>
      <c r="G354" s="761"/>
      <c r="H354" s="761"/>
      <c r="I354" s="761"/>
      <c r="J354" s="761"/>
      <c r="K354" s="761"/>
      <c r="L354" s="761"/>
      <c r="M354" s="761"/>
      <c r="N354" s="761"/>
      <c r="O354" s="761"/>
      <c r="P354" s="761"/>
      <c r="Q354" s="761"/>
      <c r="R354" s="761"/>
      <c r="S354" s="761"/>
      <c r="T354" s="761"/>
      <c r="U354" s="761"/>
      <c r="V354" s="761"/>
      <c r="W354" s="761"/>
      <c r="X354" s="762"/>
      <c r="Y354" s="22"/>
    </row>
    <row r="355" spans="2:25" x14ac:dyDescent="0.25">
      <c r="B355" s="21"/>
      <c r="C355" s="6"/>
      <c r="D355" s="760"/>
      <c r="E355" s="761"/>
      <c r="F355" s="761"/>
      <c r="G355" s="761"/>
      <c r="H355" s="761"/>
      <c r="I355" s="761"/>
      <c r="J355" s="761"/>
      <c r="K355" s="761"/>
      <c r="L355" s="761"/>
      <c r="M355" s="761"/>
      <c r="N355" s="761"/>
      <c r="O355" s="761"/>
      <c r="P355" s="761"/>
      <c r="Q355" s="761"/>
      <c r="R355" s="761"/>
      <c r="S355" s="761"/>
      <c r="T355" s="761"/>
      <c r="U355" s="761"/>
      <c r="V355" s="761"/>
      <c r="W355" s="761"/>
      <c r="X355" s="762"/>
      <c r="Y355" s="22"/>
    </row>
    <row r="356" spans="2:25" x14ac:dyDescent="0.25">
      <c r="B356" s="21"/>
      <c r="C356" s="6"/>
      <c r="D356" s="763"/>
      <c r="E356" s="764"/>
      <c r="F356" s="764"/>
      <c r="G356" s="764"/>
      <c r="H356" s="764"/>
      <c r="I356" s="764"/>
      <c r="J356" s="764"/>
      <c r="K356" s="764"/>
      <c r="L356" s="764"/>
      <c r="M356" s="764"/>
      <c r="N356" s="764"/>
      <c r="O356" s="764"/>
      <c r="P356" s="764"/>
      <c r="Q356" s="764"/>
      <c r="R356" s="764"/>
      <c r="S356" s="764"/>
      <c r="T356" s="764"/>
      <c r="U356" s="764"/>
      <c r="V356" s="764"/>
      <c r="W356" s="764"/>
      <c r="X356" s="765"/>
      <c r="Y356" s="22"/>
    </row>
    <row r="357" spans="2:25" x14ac:dyDescent="0.25">
      <c r="B357" s="21"/>
      <c r="C357" s="6"/>
      <c r="D357" s="6"/>
      <c r="E357" s="6"/>
      <c r="F357" s="6"/>
      <c r="G357" s="6"/>
      <c r="H357" s="6"/>
      <c r="I357" s="6"/>
      <c r="J357" s="6"/>
      <c r="K357" s="6"/>
      <c r="L357" s="6"/>
      <c r="M357" s="6"/>
      <c r="N357" s="6"/>
      <c r="O357" s="6"/>
      <c r="P357" s="6"/>
      <c r="Q357" s="6"/>
      <c r="R357" s="6"/>
      <c r="S357" s="6"/>
      <c r="T357" s="6"/>
      <c r="U357" s="6"/>
      <c r="V357" s="6"/>
      <c r="W357" s="6"/>
      <c r="X357" s="6"/>
      <c r="Y357" s="22"/>
    </row>
    <row r="358" spans="2:25" ht="15.75" thickBot="1" x14ac:dyDescent="0.3">
      <c r="B358" s="24"/>
      <c r="C358" s="25"/>
      <c r="D358" s="25"/>
      <c r="E358" s="25"/>
      <c r="F358" s="25"/>
      <c r="G358" s="25"/>
      <c r="H358" s="25"/>
      <c r="I358" s="25"/>
      <c r="J358" s="25"/>
      <c r="K358" s="25"/>
      <c r="L358" s="25"/>
      <c r="M358" s="25"/>
      <c r="N358" s="25"/>
      <c r="O358" s="25"/>
      <c r="P358" s="25"/>
      <c r="Q358" s="25"/>
      <c r="R358" s="25"/>
      <c r="S358" s="25"/>
      <c r="T358" s="25"/>
      <c r="U358" s="25"/>
      <c r="V358" s="25"/>
      <c r="W358" s="25"/>
      <c r="X358" s="25"/>
      <c r="Y358" s="26"/>
    </row>
    <row r="361" spans="2:25" ht="15.75" thickBot="1" x14ac:dyDescent="0.3"/>
    <row r="362" spans="2:25" x14ac:dyDescent="0.25">
      <c r="B362" s="10"/>
      <c r="C362" s="11"/>
      <c r="D362" s="11"/>
      <c r="E362" s="11"/>
      <c r="F362" s="11"/>
      <c r="G362" s="11"/>
      <c r="H362" s="11"/>
      <c r="I362" s="11"/>
      <c r="J362" s="11"/>
      <c r="K362" s="11"/>
      <c r="L362" s="11"/>
      <c r="M362" s="11"/>
      <c r="N362" s="11"/>
      <c r="O362" s="11"/>
      <c r="P362" s="11"/>
      <c r="Q362" s="11"/>
      <c r="R362" s="11"/>
      <c r="S362" s="11"/>
      <c r="T362" s="11"/>
      <c r="U362" s="11"/>
      <c r="V362" s="11"/>
      <c r="W362" s="11"/>
      <c r="X362" s="11"/>
      <c r="Y362" s="12"/>
    </row>
    <row r="363" spans="2:25" x14ac:dyDescent="0.25">
      <c r="B363" s="13"/>
      <c r="C363" s="6"/>
      <c r="D363" s="6"/>
      <c r="E363" s="6"/>
      <c r="F363" s="6"/>
      <c r="G363" s="6"/>
      <c r="H363" s="6"/>
      <c r="I363" s="6"/>
      <c r="J363" s="6"/>
      <c r="K363" s="6"/>
      <c r="L363" s="6"/>
      <c r="M363" s="6"/>
      <c r="N363" s="6"/>
      <c r="O363" s="6"/>
      <c r="P363" s="6"/>
      <c r="Q363" s="6"/>
      <c r="R363" s="6"/>
      <c r="S363" s="6"/>
      <c r="T363" s="6"/>
      <c r="U363" s="6"/>
      <c r="V363" s="6"/>
      <c r="W363" s="6"/>
      <c r="X363" s="6"/>
      <c r="Y363" s="14"/>
    </row>
    <row r="364" spans="2:25" x14ac:dyDescent="0.25">
      <c r="B364" s="13"/>
      <c r="C364" s="6"/>
      <c r="D364" s="6"/>
      <c r="E364" s="6"/>
      <c r="F364" s="6"/>
      <c r="G364" s="6"/>
      <c r="H364" s="6"/>
      <c r="I364" s="6"/>
      <c r="J364" s="6"/>
      <c r="K364" s="6"/>
      <c r="L364" s="6"/>
      <c r="M364" s="6"/>
      <c r="N364" s="6"/>
      <c r="O364" s="6"/>
      <c r="P364" s="6"/>
      <c r="Q364" s="6"/>
      <c r="R364" s="6"/>
      <c r="S364" s="6"/>
      <c r="T364" s="6"/>
      <c r="U364" s="6"/>
      <c r="V364" s="6"/>
      <c r="W364" s="1012" t="s">
        <v>723</v>
      </c>
      <c r="X364" s="1012"/>
      <c r="Y364" s="14"/>
    </row>
    <row r="365" spans="2:25" x14ac:dyDescent="0.25">
      <c r="B365" s="13"/>
      <c r="C365" s="86" t="s">
        <v>2361</v>
      </c>
      <c r="D365" s="44"/>
      <c r="E365" s="44"/>
      <c r="F365" s="44"/>
      <c r="G365" s="44"/>
      <c r="H365" s="44"/>
      <c r="I365" s="44"/>
      <c r="J365" s="44"/>
      <c r="K365" s="44"/>
      <c r="L365" s="44"/>
      <c r="M365" s="44"/>
      <c r="N365" s="44"/>
      <c r="O365" s="44"/>
      <c r="P365" s="44"/>
      <c r="Q365" s="49"/>
      <c r="R365" s="781">
        <f>P64+S100+P122+P187+L211+P238+Q295+Q320+N348</f>
        <v>0</v>
      </c>
      <c r="S365" s="782"/>
      <c r="T365" s="6"/>
      <c r="U365" s="6"/>
      <c r="W365" s="771">
        <f>W64+W100+W122+W187+W211+W238+W295+W320+W348</f>
        <v>33</v>
      </c>
      <c r="X365" s="772"/>
      <c r="Y365" s="14"/>
    </row>
    <row r="366" spans="2:25" x14ac:dyDescent="0.25">
      <c r="B366" s="13"/>
      <c r="C366" s="6"/>
      <c r="D366" s="6"/>
      <c r="E366" s="6"/>
      <c r="F366" s="6"/>
      <c r="G366" s="6"/>
      <c r="H366" s="6"/>
      <c r="I366" s="6"/>
      <c r="J366" s="6"/>
      <c r="K366" s="6"/>
      <c r="L366" s="6"/>
      <c r="M366" s="6"/>
      <c r="N366" s="6"/>
      <c r="O366" s="6"/>
      <c r="P366" s="6"/>
      <c r="Q366" s="6"/>
      <c r="R366" s="6"/>
      <c r="S366" s="6"/>
      <c r="T366" s="6"/>
      <c r="U366" s="6"/>
      <c r="V366" s="6"/>
      <c r="Y366" s="14"/>
    </row>
    <row r="367" spans="2:25" x14ac:dyDescent="0.25">
      <c r="B367" s="13"/>
      <c r="C367" s="6"/>
      <c r="D367" s="6"/>
      <c r="E367" s="6"/>
      <c r="F367" s="6"/>
      <c r="G367" s="6"/>
      <c r="H367" s="6"/>
      <c r="I367" s="6"/>
      <c r="J367" s="6"/>
      <c r="K367" s="6"/>
      <c r="L367" s="6"/>
      <c r="M367" s="6"/>
      <c r="N367" s="6"/>
      <c r="O367" s="6"/>
      <c r="P367" s="6"/>
      <c r="Q367" s="6"/>
      <c r="R367" s="6"/>
      <c r="S367" s="6"/>
      <c r="T367" s="6"/>
      <c r="U367" s="6"/>
      <c r="V367" s="6"/>
      <c r="W367" s="6"/>
      <c r="X367" s="6"/>
      <c r="Y367" s="14"/>
    </row>
    <row r="368" spans="2:25" x14ac:dyDescent="0.25">
      <c r="B368" s="13"/>
      <c r="C368" s="102" t="s">
        <v>2532</v>
      </c>
      <c r="D368" s="6"/>
      <c r="E368" s="6"/>
      <c r="F368" s="6"/>
      <c r="G368" s="6"/>
      <c r="H368" s="6"/>
      <c r="I368" s="6"/>
      <c r="J368" s="6"/>
      <c r="K368" s="6"/>
      <c r="L368" s="6"/>
      <c r="M368" s="6"/>
      <c r="N368" s="6"/>
      <c r="O368" s="6"/>
      <c r="P368" s="6"/>
      <c r="Q368" s="6"/>
      <c r="R368" s="6"/>
      <c r="S368" s="6"/>
      <c r="T368" s="6"/>
      <c r="U368" s="6"/>
      <c r="V368" s="6"/>
      <c r="W368" s="6"/>
      <c r="X368" s="6"/>
      <c r="Y368" s="14"/>
    </row>
    <row r="369" spans="2:25" x14ac:dyDescent="0.25">
      <c r="B369" s="13"/>
      <c r="C369" s="757"/>
      <c r="D369" s="758"/>
      <c r="E369" s="758"/>
      <c r="F369" s="758"/>
      <c r="G369" s="758"/>
      <c r="H369" s="758"/>
      <c r="I369" s="758"/>
      <c r="J369" s="758"/>
      <c r="K369" s="758"/>
      <c r="L369" s="758"/>
      <c r="M369" s="758"/>
      <c r="N369" s="758"/>
      <c r="O369" s="758"/>
      <c r="P369" s="758"/>
      <c r="Q369" s="758"/>
      <c r="R369" s="758"/>
      <c r="S369" s="758"/>
      <c r="T369" s="758"/>
      <c r="U369" s="758"/>
      <c r="V369" s="758"/>
      <c r="W369" s="759"/>
      <c r="X369" s="6"/>
      <c r="Y369" s="14"/>
    </row>
    <row r="370" spans="2:25" x14ac:dyDescent="0.25">
      <c r="B370" s="13"/>
      <c r="C370" s="760"/>
      <c r="D370" s="761"/>
      <c r="E370" s="761"/>
      <c r="F370" s="761"/>
      <c r="G370" s="761"/>
      <c r="H370" s="761"/>
      <c r="I370" s="761"/>
      <c r="J370" s="761"/>
      <c r="K370" s="761"/>
      <c r="L370" s="761"/>
      <c r="M370" s="761"/>
      <c r="N370" s="761"/>
      <c r="O370" s="761"/>
      <c r="P370" s="761"/>
      <c r="Q370" s="761"/>
      <c r="R370" s="761"/>
      <c r="S370" s="761"/>
      <c r="T370" s="761"/>
      <c r="U370" s="761"/>
      <c r="V370" s="761"/>
      <c r="W370" s="762"/>
      <c r="X370" s="6"/>
      <c r="Y370" s="14"/>
    </row>
    <row r="371" spans="2:25" x14ac:dyDescent="0.25">
      <c r="B371" s="13"/>
      <c r="C371" s="760"/>
      <c r="D371" s="761"/>
      <c r="E371" s="761"/>
      <c r="F371" s="761"/>
      <c r="G371" s="761"/>
      <c r="H371" s="761"/>
      <c r="I371" s="761"/>
      <c r="J371" s="761"/>
      <c r="K371" s="761"/>
      <c r="L371" s="761"/>
      <c r="M371" s="761"/>
      <c r="N371" s="761"/>
      <c r="O371" s="761"/>
      <c r="P371" s="761"/>
      <c r="Q371" s="761"/>
      <c r="R371" s="761"/>
      <c r="S371" s="761"/>
      <c r="T371" s="761"/>
      <c r="U371" s="761"/>
      <c r="V371" s="761"/>
      <c r="W371" s="762"/>
      <c r="X371" s="6"/>
      <c r="Y371" s="14"/>
    </row>
    <row r="372" spans="2:25" x14ac:dyDescent="0.25">
      <c r="B372" s="13"/>
      <c r="C372" s="760"/>
      <c r="D372" s="761"/>
      <c r="E372" s="761"/>
      <c r="F372" s="761"/>
      <c r="G372" s="761"/>
      <c r="H372" s="761"/>
      <c r="I372" s="761"/>
      <c r="J372" s="761"/>
      <c r="K372" s="761"/>
      <c r="L372" s="761"/>
      <c r="M372" s="761"/>
      <c r="N372" s="761"/>
      <c r="O372" s="761"/>
      <c r="P372" s="761"/>
      <c r="Q372" s="761"/>
      <c r="R372" s="761"/>
      <c r="S372" s="761"/>
      <c r="T372" s="761"/>
      <c r="U372" s="761"/>
      <c r="V372" s="761"/>
      <c r="W372" s="762"/>
      <c r="X372" s="6"/>
      <c r="Y372" s="14"/>
    </row>
    <row r="373" spans="2:25" x14ac:dyDescent="0.25">
      <c r="B373" s="13"/>
      <c r="C373" s="760"/>
      <c r="D373" s="761"/>
      <c r="E373" s="761"/>
      <c r="F373" s="761"/>
      <c r="G373" s="761"/>
      <c r="H373" s="761"/>
      <c r="I373" s="761"/>
      <c r="J373" s="761"/>
      <c r="K373" s="761"/>
      <c r="L373" s="761"/>
      <c r="M373" s="761"/>
      <c r="N373" s="761"/>
      <c r="O373" s="761"/>
      <c r="P373" s="761"/>
      <c r="Q373" s="761"/>
      <c r="R373" s="761"/>
      <c r="S373" s="761"/>
      <c r="T373" s="761"/>
      <c r="U373" s="761"/>
      <c r="V373" s="761"/>
      <c r="W373" s="762"/>
      <c r="X373" s="6"/>
      <c r="Y373" s="14"/>
    </row>
    <row r="374" spans="2:25" x14ac:dyDescent="0.25">
      <c r="B374" s="13"/>
      <c r="C374" s="760"/>
      <c r="D374" s="761"/>
      <c r="E374" s="761"/>
      <c r="F374" s="761"/>
      <c r="G374" s="761"/>
      <c r="H374" s="761"/>
      <c r="I374" s="761"/>
      <c r="J374" s="761"/>
      <c r="K374" s="761"/>
      <c r="L374" s="761"/>
      <c r="M374" s="761"/>
      <c r="N374" s="761"/>
      <c r="O374" s="761"/>
      <c r="P374" s="761"/>
      <c r="Q374" s="761"/>
      <c r="R374" s="761"/>
      <c r="S374" s="761"/>
      <c r="T374" s="761"/>
      <c r="U374" s="761"/>
      <c r="V374" s="761"/>
      <c r="W374" s="762"/>
      <c r="X374" s="6"/>
      <c r="Y374" s="14"/>
    </row>
    <row r="375" spans="2:25" x14ac:dyDescent="0.25">
      <c r="B375" s="13"/>
      <c r="C375" s="760"/>
      <c r="D375" s="761"/>
      <c r="E375" s="761"/>
      <c r="F375" s="761"/>
      <c r="G375" s="761"/>
      <c r="H375" s="761"/>
      <c r="I375" s="761"/>
      <c r="J375" s="761"/>
      <c r="K375" s="761"/>
      <c r="L375" s="761"/>
      <c r="M375" s="761"/>
      <c r="N375" s="761"/>
      <c r="O375" s="761"/>
      <c r="P375" s="761"/>
      <c r="Q375" s="761"/>
      <c r="R375" s="761"/>
      <c r="S375" s="761"/>
      <c r="T375" s="761"/>
      <c r="U375" s="761"/>
      <c r="V375" s="761"/>
      <c r="W375" s="762"/>
      <c r="X375" s="6"/>
      <c r="Y375" s="14"/>
    </row>
    <row r="376" spans="2:25" x14ac:dyDescent="0.25">
      <c r="B376" s="13"/>
      <c r="C376" s="760"/>
      <c r="D376" s="761"/>
      <c r="E376" s="761"/>
      <c r="F376" s="761"/>
      <c r="G376" s="761"/>
      <c r="H376" s="761"/>
      <c r="I376" s="761"/>
      <c r="J376" s="761"/>
      <c r="K376" s="761"/>
      <c r="L376" s="761"/>
      <c r="M376" s="761"/>
      <c r="N376" s="761"/>
      <c r="O376" s="761"/>
      <c r="P376" s="761"/>
      <c r="Q376" s="761"/>
      <c r="R376" s="761"/>
      <c r="S376" s="761"/>
      <c r="T376" s="761"/>
      <c r="U376" s="761"/>
      <c r="V376" s="761"/>
      <c r="W376" s="762"/>
      <c r="X376" s="6"/>
      <c r="Y376" s="14"/>
    </row>
    <row r="377" spans="2:25" x14ac:dyDescent="0.25">
      <c r="B377" s="13"/>
      <c r="C377" s="760"/>
      <c r="D377" s="761"/>
      <c r="E377" s="761"/>
      <c r="F377" s="761"/>
      <c r="G377" s="761"/>
      <c r="H377" s="761"/>
      <c r="I377" s="761"/>
      <c r="J377" s="761"/>
      <c r="K377" s="761"/>
      <c r="L377" s="761"/>
      <c r="M377" s="761"/>
      <c r="N377" s="761"/>
      <c r="O377" s="761"/>
      <c r="P377" s="761"/>
      <c r="Q377" s="761"/>
      <c r="R377" s="761"/>
      <c r="S377" s="761"/>
      <c r="T377" s="761"/>
      <c r="U377" s="761"/>
      <c r="V377" s="761"/>
      <c r="W377" s="762"/>
      <c r="X377" s="6"/>
      <c r="Y377" s="14"/>
    </row>
    <row r="378" spans="2:25" x14ac:dyDescent="0.25">
      <c r="B378" s="13"/>
      <c r="C378" s="763"/>
      <c r="D378" s="764"/>
      <c r="E378" s="764"/>
      <c r="F378" s="764"/>
      <c r="G378" s="764"/>
      <c r="H378" s="764"/>
      <c r="I378" s="764"/>
      <c r="J378" s="764"/>
      <c r="K378" s="764"/>
      <c r="L378" s="764"/>
      <c r="M378" s="764"/>
      <c r="N378" s="764"/>
      <c r="O378" s="764"/>
      <c r="P378" s="764"/>
      <c r="Q378" s="764"/>
      <c r="R378" s="764"/>
      <c r="S378" s="764"/>
      <c r="T378" s="764"/>
      <c r="U378" s="764"/>
      <c r="V378" s="764"/>
      <c r="W378" s="765"/>
      <c r="X378" s="6"/>
      <c r="Y378" s="14"/>
    </row>
    <row r="379" spans="2:25" x14ac:dyDescent="0.25">
      <c r="B379" s="13"/>
      <c r="C379" s="6"/>
      <c r="D379" s="6"/>
      <c r="E379" s="6"/>
      <c r="F379" s="6"/>
      <c r="G379" s="6"/>
      <c r="H379" s="6"/>
      <c r="I379" s="6"/>
      <c r="J379" s="6"/>
      <c r="K379" s="6"/>
      <c r="L379" s="6"/>
      <c r="M379" s="6"/>
      <c r="N379" s="6"/>
      <c r="O379" s="6"/>
      <c r="P379" s="6"/>
      <c r="Q379" s="6"/>
      <c r="R379" s="6"/>
      <c r="S379" s="6"/>
      <c r="T379" s="6"/>
      <c r="U379" s="6"/>
      <c r="V379" s="6"/>
      <c r="W379" s="6"/>
      <c r="X379" s="6"/>
      <c r="Y379" s="14"/>
    </row>
    <row r="380" spans="2:25" ht="15.75" thickBot="1" x14ac:dyDescent="0.3">
      <c r="B380" s="15"/>
      <c r="C380" s="16"/>
      <c r="D380" s="16"/>
      <c r="E380" s="16"/>
      <c r="F380" s="16"/>
      <c r="G380" s="16"/>
      <c r="H380" s="16"/>
      <c r="I380" s="16"/>
      <c r="J380" s="16"/>
      <c r="K380" s="16"/>
      <c r="L380" s="16"/>
      <c r="M380" s="16"/>
      <c r="N380" s="16"/>
      <c r="O380" s="16"/>
      <c r="P380" s="16"/>
      <c r="Q380" s="16"/>
      <c r="R380" s="16"/>
      <c r="S380" s="16"/>
      <c r="T380" s="16"/>
      <c r="U380" s="16"/>
      <c r="V380" s="16"/>
      <c r="W380" s="16"/>
      <c r="X380" s="16"/>
      <c r="Y380" s="17"/>
    </row>
  </sheetData>
  <sheetProtection algorithmName="SHA-512" hashValue="go049nYA9lI97eJR+bo2KtEdEm2HgnVYAw7o9VyACJtLo6GJiXhpDvUHsaSO0B4NrbNpJoQuQlKR1NxKEFIVMQ==" saltValue="JGBtZdOlL5+/GEgKcVXGYw==" spinCount="100000" sheet="1" objects="1" scenarios="1"/>
  <mergeCells count="267">
    <mergeCell ref="O257:P257"/>
    <mergeCell ref="O263:T263"/>
    <mergeCell ref="O264:P264"/>
    <mergeCell ref="C267:N267"/>
    <mergeCell ref="O267:P267"/>
    <mergeCell ref="C271:N271"/>
    <mergeCell ref="O271:P271"/>
    <mergeCell ref="C272:N272"/>
    <mergeCell ref="O272:P272"/>
    <mergeCell ref="O260:T260"/>
    <mergeCell ref="K139:N139"/>
    <mergeCell ref="K150:N150"/>
    <mergeCell ref="N117:O117"/>
    <mergeCell ref="Q86:R86"/>
    <mergeCell ref="S86:T86"/>
    <mergeCell ref="M54:N54"/>
    <mergeCell ref="M58:N58"/>
    <mergeCell ref="M59:N59"/>
    <mergeCell ref="M60:N60"/>
    <mergeCell ref="M62:N62"/>
    <mergeCell ref="M55:N55"/>
    <mergeCell ref="M57:N57"/>
    <mergeCell ref="S88:T88"/>
    <mergeCell ref="Q99:R99"/>
    <mergeCell ref="Q98:R98"/>
    <mergeCell ref="Q89:R89"/>
    <mergeCell ref="Q93:R93"/>
    <mergeCell ref="Q94:R94"/>
    <mergeCell ref="Q95:R95"/>
    <mergeCell ref="Q96:R96"/>
    <mergeCell ref="S89:T89"/>
    <mergeCell ref="N116:O116"/>
    <mergeCell ref="L140:M140"/>
    <mergeCell ref="L141:M141"/>
    <mergeCell ref="S20:T20"/>
    <mergeCell ref="V20:W20"/>
    <mergeCell ref="P21:Q21"/>
    <mergeCell ref="S21:T21"/>
    <mergeCell ref="V21:W21"/>
    <mergeCell ref="P29:W29"/>
    <mergeCell ref="P30:Q30"/>
    <mergeCell ref="S30:T30"/>
    <mergeCell ref="P122:Q122"/>
    <mergeCell ref="P34:Q34"/>
    <mergeCell ref="S33:T33"/>
    <mergeCell ref="V33:W33"/>
    <mergeCell ref="P64:Q64"/>
    <mergeCell ref="V34:W34"/>
    <mergeCell ref="W63:X63"/>
    <mergeCell ref="W64:X64"/>
    <mergeCell ref="W99:X99"/>
    <mergeCell ref="W100:X100"/>
    <mergeCell ref="W121:X121"/>
    <mergeCell ref="W122:X122"/>
    <mergeCell ref="W87:X87"/>
    <mergeCell ref="C104:W108"/>
    <mergeCell ref="U89:V89"/>
    <mergeCell ref="Q88:R88"/>
    <mergeCell ref="V12:W12"/>
    <mergeCell ref="V14:W14"/>
    <mergeCell ref="V19:W19"/>
    <mergeCell ref="P119:Q119"/>
    <mergeCell ref="P11:Q11"/>
    <mergeCell ref="P10:W10"/>
    <mergeCell ref="V32:W32"/>
    <mergeCell ref="S32:T32"/>
    <mergeCell ref="S14:T14"/>
    <mergeCell ref="V15:W15"/>
    <mergeCell ref="S92:T92"/>
    <mergeCell ref="S97:T97"/>
    <mergeCell ref="S100:T100"/>
    <mergeCell ref="D68:X77"/>
    <mergeCell ref="U88:V88"/>
    <mergeCell ref="P46:Q46"/>
    <mergeCell ref="S46:T46"/>
    <mergeCell ref="V46:W46"/>
    <mergeCell ref="W88:X88"/>
    <mergeCell ref="S44:T44"/>
    <mergeCell ref="V44:W44"/>
    <mergeCell ref="S13:T13"/>
    <mergeCell ref="V13:W13"/>
    <mergeCell ref="P33:Q33"/>
    <mergeCell ref="Y4:Z4"/>
    <mergeCell ref="N237:O237"/>
    <mergeCell ref="P237:Q237"/>
    <mergeCell ref="N236:O236"/>
    <mergeCell ref="P236:Q236"/>
    <mergeCell ref="J203:K203"/>
    <mergeCell ref="J204:K204"/>
    <mergeCell ref="J209:K209"/>
    <mergeCell ref="J210:K210"/>
    <mergeCell ref="J211:K211"/>
    <mergeCell ref="L207:M207"/>
    <mergeCell ref="L209:M209"/>
    <mergeCell ref="L210:M210"/>
    <mergeCell ref="L211:M211"/>
    <mergeCell ref="P227:Q227"/>
    <mergeCell ref="V11:W11"/>
    <mergeCell ref="S11:T11"/>
    <mergeCell ref="S25:T25"/>
    <mergeCell ref="P15:Q15"/>
    <mergeCell ref="P23:Q23"/>
    <mergeCell ref="P13:Q13"/>
    <mergeCell ref="U87:V87"/>
    <mergeCell ref="U86:V86"/>
    <mergeCell ref="Q87:R87"/>
    <mergeCell ref="P18:Q18"/>
    <mergeCell ref="S18:T18"/>
    <mergeCell ref="V18:W18"/>
    <mergeCell ref="N121:O121"/>
    <mergeCell ref="N122:O122"/>
    <mergeCell ref="P44:Q44"/>
    <mergeCell ref="S87:T87"/>
    <mergeCell ref="S23:T23"/>
    <mergeCell ref="V23:W23"/>
    <mergeCell ref="S19:T19"/>
    <mergeCell ref="W89:X89"/>
    <mergeCell ref="P42:Q42"/>
    <mergeCell ref="S42:T42"/>
    <mergeCell ref="V42:W42"/>
    <mergeCell ref="P36:Q36"/>
    <mergeCell ref="S36:T36"/>
    <mergeCell ref="V36:W36"/>
    <mergeCell ref="W86:X86"/>
    <mergeCell ref="P54:Q54"/>
    <mergeCell ref="P55:Q55"/>
    <mergeCell ref="P20:Q20"/>
    <mergeCell ref="M51:N51"/>
    <mergeCell ref="M52:Q52"/>
    <mergeCell ref="S40:T40"/>
    <mergeCell ref="S15:T15"/>
    <mergeCell ref="S12:T12"/>
    <mergeCell ref="V31:W31"/>
    <mergeCell ref="P41:Q41"/>
    <mergeCell ref="P40:Q40"/>
    <mergeCell ref="P32:Q32"/>
    <mergeCell ref="V25:W25"/>
    <mergeCell ref="P12:Q12"/>
    <mergeCell ref="P14:Q14"/>
    <mergeCell ref="P25:Q25"/>
    <mergeCell ref="V30:W30"/>
    <mergeCell ref="P31:Q31"/>
    <mergeCell ref="S31:T31"/>
    <mergeCell ref="P39:Q39"/>
    <mergeCell ref="S39:T39"/>
    <mergeCell ref="V39:W39"/>
    <mergeCell ref="P19:Q19"/>
    <mergeCell ref="P35:Q35"/>
    <mergeCell ref="S35:T35"/>
    <mergeCell ref="V35:W35"/>
    <mergeCell ref="V41:W41"/>
    <mergeCell ref="S34:T34"/>
    <mergeCell ref="V40:W40"/>
    <mergeCell ref="S41:T41"/>
    <mergeCell ref="N170:O170"/>
    <mergeCell ref="N171:O171"/>
    <mergeCell ref="P177:Q177"/>
    <mergeCell ref="N168:O168"/>
    <mergeCell ref="N169:O169"/>
    <mergeCell ref="P174:Q174"/>
    <mergeCell ref="N175:O175"/>
    <mergeCell ref="P175:Q175"/>
    <mergeCell ref="D215:X219"/>
    <mergeCell ref="P187:Q187"/>
    <mergeCell ref="N186:O186"/>
    <mergeCell ref="N174:O174"/>
    <mergeCell ref="L142:M142"/>
    <mergeCell ref="L147:M147"/>
    <mergeCell ref="L146:M146"/>
    <mergeCell ref="P156:Q156"/>
    <mergeCell ref="L143:M143"/>
    <mergeCell ref="P168:Q168"/>
    <mergeCell ref="P169:Q169"/>
    <mergeCell ref="N159:O159"/>
    <mergeCell ref="N160:O160"/>
    <mergeCell ref="N238:O238"/>
    <mergeCell ref="P238:Q238"/>
    <mergeCell ref="D242:X246"/>
    <mergeCell ref="W211:X211"/>
    <mergeCell ref="W237:X237"/>
    <mergeCell ref="N232:O232"/>
    <mergeCell ref="W238:X238"/>
    <mergeCell ref="C126:W130"/>
    <mergeCell ref="N161:O161"/>
    <mergeCell ref="N163:O163"/>
    <mergeCell ref="N162:O162"/>
    <mergeCell ref="N231:O231"/>
    <mergeCell ref="N230:O230"/>
    <mergeCell ref="N229:O229"/>
    <mergeCell ref="N181:O181"/>
    <mergeCell ref="P181:Q181"/>
    <mergeCell ref="P183:Q183"/>
    <mergeCell ref="L148:M148"/>
    <mergeCell ref="L151:M151"/>
    <mergeCell ref="L152:M152"/>
    <mergeCell ref="P170:Q170"/>
    <mergeCell ref="P171:Q171"/>
    <mergeCell ref="N180:O180"/>
    <mergeCell ref="P180:Q180"/>
    <mergeCell ref="N233:O233"/>
    <mergeCell ref="W186:X186"/>
    <mergeCell ref="W187:X187"/>
    <mergeCell ref="W210:X210"/>
    <mergeCell ref="C191:W195"/>
    <mergeCell ref="C268:N268"/>
    <mergeCell ref="N234:O234"/>
    <mergeCell ref="C369:W378"/>
    <mergeCell ref="W364:X364"/>
    <mergeCell ref="O290:P290"/>
    <mergeCell ref="O292:P292"/>
    <mergeCell ref="Q290:R290"/>
    <mergeCell ref="Q292:R292"/>
    <mergeCell ref="D299:X303"/>
    <mergeCell ref="D324:X328"/>
    <mergeCell ref="D352:X356"/>
    <mergeCell ref="R365:S365"/>
    <mergeCell ref="W365:X365"/>
    <mergeCell ref="N348:O348"/>
    <mergeCell ref="L346:M346"/>
    <mergeCell ref="L345:M345"/>
    <mergeCell ref="L344:M344"/>
    <mergeCell ref="L339:M339"/>
    <mergeCell ref="L340:M340"/>
    <mergeCell ref="L337:M337"/>
    <mergeCell ref="W294:X294"/>
    <mergeCell ref="W295:X295"/>
    <mergeCell ref="W319:X319"/>
    <mergeCell ref="Q276:R276"/>
    <mergeCell ref="O288:P288"/>
    <mergeCell ref="Q288:R288"/>
    <mergeCell ref="O287:P287"/>
    <mergeCell ref="Q287:R287"/>
    <mergeCell ref="Q295:R295"/>
    <mergeCell ref="O313:P313"/>
    <mergeCell ref="O317:P317"/>
    <mergeCell ref="O318:P318"/>
    <mergeCell ref="Q315:R315"/>
    <mergeCell ref="Q281:R281"/>
    <mergeCell ref="O284:P284"/>
    <mergeCell ref="O276:P276"/>
    <mergeCell ref="O283:P283"/>
    <mergeCell ref="O285:P285"/>
    <mergeCell ref="Q285:R285"/>
    <mergeCell ref="O291:P291"/>
    <mergeCell ref="Q291:R291"/>
    <mergeCell ref="W348:X348"/>
    <mergeCell ref="Q320:R320"/>
    <mergeCell ref="O261:P261"/>
    <mergeCell ref="O286:P286"/>
    <mergeCell ref="Q286:R286"/>
    <mergeCell ref="Q319:R319"/>
    <mergeCell ref="W320:X320"/>
    <mergeCell ref="O277:P277"/>
    <mergeCell ref="O278:P278"/>
    <mergeCell ref="O293:P293"/>
    <mergeCell ref="O294:P294"/>
    <mergeCell ref="Q294:R294"/>
    <mergeCell ref="Q293:R293"/>
    <mergeCell ref="W347:X347"/>
    <mergeCell ref="Q284:R284"/>
    <mergeCell ref="N343:O343"/>
    <mergeCell ref="N346:O346"/>
    <mergeCell ref="N345:O345"/>
    <mergeCell ref="O268:P268"/>
    <mergeCell ref="O269:P269"/>
    <mergeCell ref="O312:P312"/>
    <mergeCell ref="O273:P273"/>
  </mergeCells>
  <conditionalFormatting sqref="O140:U140">
    <cfRule type="expression" dxfId="34" priority="18">
      <formula>$O$140&lt;&gt;""</formula>
    </cfRule>
  </conditionalFormatting>
  <conditionalFormatting sqref="O141:U141">
    <cfRule type="expression" dxfId="33" priority="17">
      <formula>$O$141&lt;&gt;""</formula>
    </cfRule>
  </conditionalFormatting>
  <conditionalFormatting sqref="O142:U142">
    <cfRule type="expression" dxfId="32" priority="16">
      <formula>$O$142&lt;&gt;""</formula>
    </cfRule>
  </conditionalFormatting>
  <conditionalFormatting sqref="O143:R143">
    <cfRule type="expression" dxfId="31" priority="15">
      <formula>$O$143&lt;&gt;""</formula>
    </cfRule>
  </conditionalFormatting>
  <conditionalFormatting sqref="O146:V146">
    <cfRule type="expression" dxfId="30" priority="14">
      <formula>$O$146&lt;&gt;""</formula>
    </cfRule>
  </conditionalFormatting>
  <conditionalFormatting sqref="O147:V147">
    <cfRule type="expression" dxfId="29" priority="13">
      <formula>$O$147&lt;&gt;""</formula>
    </cfRule>
  </conditionalFormatting>
  <conditionalFormatting sqref="O148:V148">
    <cfRule type="expression" dxfId="28" priority="12">
      <formula>$O$148&lt;&gt;""</formula>
    </cfRule>
  </conditionalFormatting>
  <conditionalFormatting sqref="O151:T151">
    <cfRule type="expression" dxfId="27" priority="11">
      <formula>$O$151&lt;&gt;""</formula>
    </cfRule>
  </conditionalFormatting>
  <conditionalFormatting sqref="O152:T152">
    <cfRule type="expression" dxfId="26" priority="10">
      <formula>$O$152&lt;&gt;""</formula>
    </cfRule>
  </conditionalFormatting>
  <conditionalFormatting sqref="M204:P204">
    <cfRule type="expression" dxfId="25" priority="9">
      <formula>$M$204&lt;&gt;""</formula>
    </cfRule>
  </conditionalFormatting>
  <conditionalFormatting sqref="R268:V268">
    <cfRule type="expression" dxfId="24" priority="8">
      <formula>$R$268&lt;&gt;""</formula>
    </cfRule>
  </conditionalFormatting>
  <conditionalFormatting sqref="R313:V313">
    <cfRule type="expression" dxfId="23" priority="7">
      <formula>$R$313&lt;&gt;""</formula>
    </cfRule>
  </conditionalFormatting>
  <conditionalFormatting sqref="Q161:W161">
    <cfRule type="expression" dxfId="22" priority="5">
      <formula>$Q$161&lt;&gt;""</formula>
    </cfRule>
  </conditionalFormatting>
  <conditionalFormatting sqref="Q162:W162">
    <cfRule type="expression" dxfId="21" priority="4">
      <formula>$Q$162&lt;&gt;""</formula>
    </cfRule>
  </conditionalFormatting>
  <conditionalFormatting sqref="Q163:W163">
    <cfRule type="expression" dxfId="20" priority="3">
      <formula>$Q$163&lt;&gt;""</formula>
    </cfRule>
  </conditionalFormatting>
  <conditionalFormatting sqref="P58:U58">
    <cfRule type="expression" dxfId="19" priority="2">
      <formula>$P$58&lt;&gt;""</formula>
    </cfRule>
  </conditionalFormatting>
  <conditionalFormatting sqref="R272:V272">
    <cfRule type="expression" dxfId="18" priority="1">
      <formula>$R$272&lt;&gt;""</formula>
    </cfRule>
  </conditionalFormatting>
  <dataValidations count="3">
    <dataValidation type="list" allowBlank="1" showInputMessage="1" showErrorMessage="1" sqref="M52:Q52">
      <formula1>lstCalculBilan</formula1>
    </dataValidation>
    <dataValidation type="list" allowBlank="1" showInputMessage="1" showErrorMessage="1" sqref="M54:N54">
      <formula1>"1,2,3"</formula1>
    </dataValidation>
    <dataValidation type="list" allowBlank="1" showInputMessage="1" showErrorMessage="1" sqref="M57:N57 O261:P261 O264:P264">
      <formula1>"Oui,Non"</formula1>
    </dataValidation>
  </dataValidations>
  <pageMargins left="0.7" right="0.7" top="0.75" bottom="0.75" header="0.3" footer="0.3"/>
  <pageSetup paperSize="9"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fitToPage="1"/>
  </sheetPr>
  <dimension ref="A1:AC268"/>
  <sheetViews>
    <sheetView showGridLines="0" zoomScale="85" zoomScaleNormal="85" workbookViewId="0">
      <pane ySplit="5" topLeftCell="A6" activePane="bottomLeft" state="frozen"/>
      <selection activeCell="AA19" sqref="AA19"/>
      <selection pane="bottomLeft" activeCell="R79" sqref="R79"/>
    </sheetView>
  </sheetViews>
  <sheetFormatPr baseColWidth="10" defaultColWidth="9.140625" defaultRowHeight="15" x14ac:dyDescent="0.25"/>
  <cols>
    <col min="29" max="29" width="9.140625" hidden="1" customWidth="1"/>
  </cols>
  <sheetData>
    <row r="1" spans="1:26" x14ac:dyDescent="0.25">
      <c r="A1" s="29"/>
      <c r="B1" s="29"/>
      <c r="C1" s="29"/>
      <c r="D1" s="29"/>
      <c r="E1" s="29"/>
      <c r="F1" s="29"/>
      <c r="G1" s="29"/>
      <c r="H1" s="29"/>
      <c r="I1" s="29"/>
      <c r="J1" s="29"/>
      <c r="K1" s="81"/>
      <c r="L1" s="81"/>
      <c r="M1" s="81"/>
      <c r="N1" s="81"/>
      <c r="O1" s="29"/>
      <c r="P1" s="29"/>
      <c r="Q1" s="29"/>
      <c r="R1" s="29"/>
      <c r="S1" s="83" t="s">
        <v>715</v>
      </c>
      <c r="T1" s="29"/>
      <c r="U1" s="29"/>
      <c r="V1" s="29"/>
      <c r="W1" s="29"/>
      <c r="X1" s="29"/>
      <c r="Y1" s="29"/>
      <c r="Z1" s="29"/>
    </row>
    <row r="2" spans="1:26" x14ac:dyDescent="0.25">
      <c r="A2" s="29"/>
      <c r="B2" s="29"/>
      <c r="C2" s="29"/>
      <c r="D2" s="29"/>
      <c r="E2" s="29"/>
      <c r="F2" s="29"/>
      <c r="G2" s="29"/>
      <c r="H2" s="29"/>
      <c r="I2" s="29"/>
      <c r="J2" s="29"/>
      <c r="K2" s="81"/>
      <c r="L2" s="81"/>
      <c r="M2" s="81"/>
      <c r="N2" s="81"/>
      <c r="O2" s="29"/>
      <c r="P2" s="29"/>
      <c r="Q2" s="29"/>
      <c r="R2" s="29"/>
      <c r="S2" s="83" t="s">
        <v>716</v>
      </c>
      <c r="T2" s="29"/>
      <c r="U2" s="29"/>
      <c r="V2" s="29"/>
      <c r="W2" s="29"/>
      <c r="X2" s="29"/>
      <c r="Y2" s="29"/>
      <c r="Z2" s="29"/>
    </row>
    <row r="3" spans="1:26" x14ac:dyDescent="0.25">
      <c r="A3" s="29"/>
      <c r="B3" s="29"/>
      <c r="C3" s="29"/>
      <c r="D3" s="29"/>
      <c r="E3" s="29"/>
      <c r="F3" s="29"/>
      <c r="G3" s="29"/>
      <c r="H3" s="29"/>
      <c r="I3" s="29"/>
      <c r="J3" s="29"/>
      <c r="K3" s="81"/>
      <c r="L3" s="81"/>
      <c r="M3" s="81"/>
      <c r="N3" s="81"/>
      <c r="O3" s="29"/>
      <c r="P3" s="29"/>
      <c r="Q3" s="29"/>
      <c r="R3" s="29"/>
      <c r="S3" s="82" t="s">
        <v>615</v>
      </c>
      <c r="T3" s="29"/>
      <c r="U3" s="29"/>
      <c r="V3" s="29"/>
      <c r="W3" s="29"/>
      <c r="X3" s="29"/>
      <c r="Y3" s="29"/>
      <c r="Z3" s="29"/>
    </row>
    <row r="4" spans="1:26" x14ac:dyDescent="0.25">
      <c r="A4" s="29"/>
      <c r="B4" s="29"/>
      <c r="C4" s="29"/>
      <c r="D4" s="29"/>
      <c r="E4" s="29"/>
      <c r="F4" s="29"/>
      <c r="G4" s="29"/>
      <c r="H4" s="29"/>
      <c r="I4" s="29"/>
      <c r="J4" s="29"/>
      <c r="K4" s="29"/>
      <c r="L4" s="29"/>
      <c r="M4" s="29"/>
      <c r="N4" s="29"/>
      <c r="O4" s="29"/>
      <c r="P4" s="29"/>
      <c r="Q4" s="29"/>
      <c r="R4" s="29"/>
      <c r="S4" s="29"/>
      <c r="T4" s="29"/>
      <c r="U4" s="29"/>
      <c r="V4" s="29"/>
      <c r="W4" s="29"/>
      <c r="X4" s="29"/>
      <c r="Y4" s="696" t="str">
        <f>Accueil!I6</f>
        <v>Version 1.06</v>
      </c>
      <c r="Z4" s="696"/>
    </row>
    <row r="5" spans="1:26" x14ac:dyDescent="0.25">
      <c r="A5" s="29"/>
      <c r="B5" s="29"/>
      <c r="C5" s="29"/>
      <c r="D5" s="29"/>
      <c r="E5" s="29"/>
      <c r="F5" s="29"/>
      <c r="G5" s="29"/>
      <c r="H5" s="29"/>
      <c r="I5" s="29"/>
      <c r="J5" s="29"/>
      <c r="K5" s="29"/>
      <c r="L5" s="29"/>
      <c r="M5" s="29"/>
      <c r="N5" s="29"/>
      <c r="O5" s="29"/>
      <c r="P5" s="29"/>
      <c r="Q5" s="29"/>
      <c r="R5" s="29"/>
      <c r="S5" s="29"/>
      <c r="T5" s="29"/>
      <c r="U5" s="29"/>
      <c r="V5" s="29"/>
      <c r="W5" s="29"/>
      <c r="X5" s="29"/>
      <c r="Y5" s="29"/>
      <c r="Z5" s="29"/>
    </row>
    <row r="7" spans="1:26" ht="15.75" thickBot="1" x14ac:dyDescent="0.3"/>
    <row r="8" spans="1:26" x14ac:dyDescent="0.25">
      <c r="B8" s="18"/>
      <c r="C8" s="19"/>
      <c r="D8" s="19"/>
      <c r="E8" s="19"/>
      <c r="F8" s="19"/>
      <c r="G8" s="19"/>
      <c r="H8" s="19"/>
      <c r="I8" s="19"/>
      <c r="J8" s="19"/>
      <c r="K8" s="19"/>
      <c r="L8" s="19"/>
      <c r="M8" s="19"/>
      <c r="N8" s="19"/>
      <c r="O8" s="19"/>
      <c r="P8" s="19"/>
      <c r="Q8" s="19"/>
      <c r="R8" s="19"/>
      <c r="S8" s="19"/>
      <c r="T8" s="19"/>
      <c r="U8" s="19"/>
      <c r="V8" s="19"/>
      <c r="W8" s="19"/>
      <c r="X8" s="19"/>
      <c r="Y8" s="20"/>
    </row>
    <row r="9" spans="1:26" x14ac:dyDescent="0.25">
      <c r="B9" s="21"/>
      <c r="C9" s="6"/>
      <c r="D9" s="6"/>
      <c r="E9" s="6"/>
      <c r="F9" s="6"/>
      <c r="G9" s="6"/>
      <c r="H9" s="6"/>
      <c r="I9" s="6"/>
      <c r="J9" s="6"/>
      <c r="K9" s="6"/>
      <c r="L9" s="6"/>
      <c r="M9" s="6"/>
      <c r="N9" s="6"/>
      <c r="O9" s="6"/>
      <c r="P9" s="6"/>
      <c r="Q9" s="6"/>
      <c r="R9" s="6"/>
      <c r="S9" s="6"/>
      <c r="T9" s="6"/>
      <c r="U9" s="6"/>
      <c r="V9" s="6"/>
      <c r="W9" s="6"/>
      <c r="X9" s="6"/>
      <c r="Y9" s="22"/>
    </row>
    <row r="10" spans="1:26" x14ac:dyDescent="0.25">
      <c r="B10" s="21"/>
      <c r="C10" s="46" t="s">
        <v>432</v>
      </c>
      <c r="D10" s="6"/>
      <c r="E10" s="6"/>
      <c r="F10" s="6"/>
      <c r="G10" s="6"/>
      <c r="H10" s="6"/>
      <c r="I10" s="6"/>
      <c r="J10" s="6"/>
      <c r="K10" s="794"/>
      <c r="L10" s="795"/>
      <c r="M10" s="6"/>
      <c r="N10" s="6"/>
      <c r="O10" s="958" t="str">
        <f>IF(K10="Non","Exploitation non concernée par cet indicateur","")</f>
        <v/>
      </c>
      <c r="P10" s="958"/>
      <c r="Q10" s="958"/>
      <c r="R10" s="958"/>
      <c r="S10" s="958"/>
      <c r="T10" s="6"/>
      <c r="U10" s="6"/>
      <c r="V10" s="6"/>
      <c r="W10" s="6"/>
      <c r="X10" s="6"/>
      <c r="Y10" s="22"/>
    </row>
    <row r="11" spans="1:26" x14ac:dyDescent="0.25">
      <c r="B11" s="21"/>
      <c r="C11" s="6"/>
      <c r="D11" s="6"/>
      <c r="E11" s="6"/>
      <c r="F11" s="6"/>
      <c r="G11" s="6"/>
      <c r="H11" s="6"/>
      <c r="I11" s="6"/>
      <c r="J11" s="6"/>
      <c r="K11" s="6"/>
      <c r="L11" s="6"/>
      <c r="M11" s="6"/>
      <c r="N11" s="6"/>
      <c r="O11" s="6"/>
      <c r="P11" s="6"/>
      <c r="Q11" s="6"/>
      <c r="R11" s="6"/>
      <c r="S11" s="6"/>
      <c r="T11" s="6"/>
      <c r="U11" s="6"/>
      <c r="V11" s="6"/>
      <c r="W11" s="6"/>
      <c r="X11" s="6"/>
      <c r="Y11" s="22"/>
    </row>
    <row r="12" spans="1:26" x14ac:dyDescent="0.25">
      <c r="B12" s="21"/>
      <c r="C12" s="128" t="s">
        <v>2635</v>
      </c>
      <c r="D12" s="51"/>
      <c r="E12" s="51"/>
      <c r="F12" s="51"/>
      <c r="G12" s="51"/>
      <c r="H12" s="51"/>
      <c r="I12" s="51"/>
      <c r="J12" s="47"/>
      <c r="K12" s="882"/>
      <c r="L12" s="883"/>
      <c r="M12" s="70" t="s">
        <v>258</v>
      </c>
      <c r="N12" s="6"/>
      <c r="O12" s="6" t="str">
        <f>IF(K12&gt;cSAU,"Attention : surface irrigable saisie &gt; SAU","")</f>
        <v/>
      </c>
      <c r="P12" s="6"/>
      <c r="Q12" s="6"/>
      <c r="R12" s="6"/>
      <c r="S12" s="6"/>
      <c r="T12" s="6"/>
      <c r="U12" s="6"/>
      <c r="V12" s="6"/>
      <c r="W12" s="6"/>
      <c r="X12" s="6"/>
      <c r="Y12" s="22"/>
    </row>
    <row r="13" spans="1:26" x14ac:dyDescent="0.25">
      <c r="B13" s="21"/>
      <c r="C13" s="131" t="s">
        <v>2568</v>
      </c>
      <c r="D13" s="52"/>
      <c r="E13" s="52"/>
      <c r="F13" s="52"/>
      <c r="G13" s="52"/>
      <c r="H13" s="52"/>
      <c r="I13" s="52"/>
      <c r="J13" s="48"/>
      <c r="K13" s="882"/>
      <c r="L13" s="883"/>
      <c r="M13" s="70" t="s">
        <v>258</v>
      </c>
      <c r="N13" s="6"/>
      <c r="O13" s="173" t="str">
        <f>IF(K13&gt;K12,"Attention : surface irriguée &gt; surface irrigable","")</f>
        <v/>
      </c>
      <c r="P13" s="6"/>
      <c r="Q13" s="6"/>
      <c r="R13" s="6"/>
      <c r="S13" s="6"/>
      <c r="T13" s="6"/>
      <c r="U13" s="6"/>
      <c r="V13" s="6"/>
      <c r="W13" s="6"/>
      <c r="X13" s="6"/>
      <c r="Y13" s="22"/>
    </row>
    <row r="14" spans="1:26" x14ac:dyDescent="0.25">
      <c r="B14" s="21"/>
      <c r="C14" s="6"/>
      <c r="D14" s="6"/>
      <c r="E14" s="6"/>
      <c r="F14" s="6"/>
      <c r="G14" s="6"/>
      <c r="H14" s="6"/>
      <c r="I14" s="6"/>
      <c r="J14" s="6"/>
      <c r="K14" s="6"/>
      <c r="L14" s="6"/>
      <c r="M14" s="70"/>
      <c r="N14" s="6"/>
      <c r="O14" s="6"/>
      <c r="P14" s="6"/>
      <c r="Q14" s="6"/>
      <c r="R14" s="6"/>
      <c r="S14" s="6"/>
      <c r="T14" s="6"/>
      <c r="U14" s="6"/>
      <c r="V14" s="6"/>
      <c r="W14" s="6"/>
      <c r="X14" s="6"/>
      <c r="Y14" s="22"/>
    </row>
    <row r="15" spans="1:26" x14ac:dyDescent="0.25">
      <c r="B15" s="21"/>
      <c r="C15" s="139"/>
      <c r="D15" s="118"/>
      <c r="E15" s="118"/>
      <c r="F15" s="118"/>
      <c r="G15" s="118"/>
      <c r="H15" s="118"/>
      <c r="I15" s="118"/>
      <c r="J15" s="118"/>
      <c r="K15" s="118"/>
      <c r="L15" s="118"/>
      <c r="M15" s="118"/>
      <c r="N15" s="118"/>
      <c r="O15" s="118"/>
      <c r="P15" s="138"/>
      <c r="Q15" s="118"/>
      <c r="R15" s="118"/>
      <c r="S15" s="118"/>
      <c r="T15" s="118"/>
      <c r="U15" s="118"/>
      <c r="V15" s="118"/>
      <c r="W15" s="118"/>
      <c r="X15" s="118"/>
      <c r="Y15" s="22"/>
    </row>
    <row r="16" spans="1:26" ht="15.75" thickBot="1" x14ac:dyDescent="0.3">
      <c r="B16" s="24"/>
      <c r="C16" s="25"/>
      <c r="D16" s="25"/>
      <c r="E16" s="25"/>
      <c r="F16" s="25"/>
      <c r="G16" s="25"/>
      <c r="H16" s="25"/>
      <c r="I16" s="25"/>
      <c r="J16" s="25"/>
      <c r="K16" s="25"/>
      <c r="L16" s="25"/>
      <c r="M16" s="25"/>
      <c r="N16" s="25"/>
      <c r="O16" s="25"/>
      <c r="P16" s="25"/>
      <c r="Q16" s="25"/>
      <c r="R16" s="25"/>
      <c r="S16" s="25"/>
      <c r="T16" s="25"/>
      <c r="U16" s="25"/>
      <c r="V16" s="25"/>
      <c r="W16" s="25"/>
      <c r="X16" s="25"/>
      <c r="Y16" s="26"/>
    </row>
    <row r="19" spans="2:25" ht="15.75" thickBot="1" x14ac:dyDescent="0.3"/>
    <row r="20" spans="2:25" x14ac:dyDescent="0.25">
      <c r="B20" s="18"/>
      <c r="C20" s="19"/>
      <c r="D20" s="19"/>
      <c r="E20" s="19"/>
      <c r="F20" s="19"/>
      <c r="G20" s="19"/>
      <c r="H20" s="19"/>
      <c r="I20" s="19"/>
      <c r="J20" s="19"/>
      <c r="K20" s="19"/>
      <c r="L20" s="19"/>
      <c r="M20" s="19"/>
      <c r="N20" s="19"/>
      <c r="O20" s="19"/>
      <c r="P20" s="19"/>
      <c r="Q20" s="19"/>
      <c r="R20" s="19"/>
      <c r="S20" s="19"/>
      <c r="T20" s="19"/>
      <c r="U20" s="19"/>
      <c r="V20" s="19"/>
      <c r="W20" s="19"/>
      <c r="X20" s="19"/>
      <c r="Y20" s="20"/>
    </row>
    <row r="21" spans="2:25" x14ac:dyDescent="0.25">
      <c r="B21" s="21"/>
      <c r="C21" s="6"/>
      <c r="D21" s="6"/>
      <c r="E21" s="6"/>
      <c r="F21" s="6"/>
      <c r="G21" s="6"/>
      <c r="H21" s="6"/>
      <c r="I21" s="6"/>
      <c r="J21" s="6"/>
      <c r="K21" s="6"/>
      <c r="L21" s="6"/>
      <c r="M21" s="6"/>
      <c r="N21" s="6"/>
      <c r="O21" s="6"/>
      <c r="P21" s="6"/>
      <c r="Q21" s="6"/>
      <c r="R21" s="6"/>
      <c r="S21" s="6"/>
      <c r="T21" s="6"/>
      <c r="U21" s="6"/>
      <c r="V21" s="6"/>
      <c r="W21" s="6"/>
      <c r="X21" s="6"/>
      <c r="Y21" s="22"/>
    </row>
    <row r="22" spans="2:25" x14ac:dyDescent="0.25">
      <c r="B22" s="21"/>
      <c r="C22" s="23" t="s">
        <v>2569</v>
      </c>
      <c r="D22" s="6"/>
      <c r="E22" s="6"/>
      <c r="F22" s="6"/>
      <c r="G22" s="6"/>
      <c r="H22" s="6"/>
      <c r="I22" s="6"/>
      <c r="J22" s="6"/>
      <c r="K22" s="6"/>
      <c r="L22" s="6"/>
      <c r="M22" s="6"/>
      <c r="N22" s="6"/>
      <c r="O22" s="6"/>
      <c r="P22" s="6"/>
      <c r="Q22" s="6"/>
      <c r="R22" s="6"/>
      <c r="S22" s="6"/>
      <c r="T22" s="6"/>
      <c r="U22" s="6"/>
      <c r="V22" s="6"/>
      <c r="W22" s="6"/>
      <c r="X22" s="6"/>
      <c r="Y22" s="22"/>
    </row>
    <row r="23" spans="2:25" x14ac:dyDescent="0.25">
      <c r="B23" s="21"/>
      <c r="C23" s="6"/>
      <c r="D23" s="6"/>
      <c r="E23" s="6"/>
      <c r="F23" s="6"/>
      <c r="G23" s="6"/>
      <c r="H23" s="6"/>
      <c r="I23" s="6"/>
      <c r="J23" s="6"/>
      <c r="K23" s="6"/>
      <c r="L23" s="6"/>
      <c r="M23" s="6"/>
      <c r="N23" s="6"/>
      <c r="O23" s="6"/>
      <c r="P23" s="6"/>
      <c r="Q23" s="6"/>
      <c r="R23" s="6"/>
      <c r="S23" s="6"/>
      <c r="T23" s="6"/>
      <c r="U23" s="6"/>
      <c r="V23" s="6"/>
      <c r="W23" s="6"/>
      <c r="X23" s="6"/>
      <c r="Y23" s="22"/>
    </row>
    <row r="24" spans="2:25" x14ac:dyDescent="0.25">
      <c r="B24" s="21"/>
      <c r="C24" s="128" t="s">
        <v>356</v>
      </c>
      <c r="D24" s="51"/>
      <c r="E24" s="51"/>
      <c r="F24" s="51"/>
      <c r="G24" s="51"/>
      <c r="H24" s="51"/>
      <c r="I24" s="51"/>
      <c r="J24" s="47"/>
      <c r="K24" s="794"/>
      <c r="L24" s="795"/>
      <c r="M24" s="6"/>
      <c r="N24" s="6"/>
      <c r="O24" s="6"/>
      <c r="P24" s="6"/>
      <c r="Q24" s="6"/>
      <c r="R24" s="6"/>
      <c r="S24" s="6"/>
      <c r="T24" s="6"/>
      <c r="U24" s="6"/>
      <c r="V24" s="6"/>
      <c r="W24" s="6"/>
      <c r="X24" s="6"/>
      <c r="Y24" s="22"/>
    </row>
    <row r="25" spans="2:25" x14ac:dyDescent="0.25">
      <c r="B25" s="21"/>
      <c r="C25" s="6"/>
      <c r="D25" s="6"/>
      <c r="E25" s="6"/>
      <c r="F25" s="6"/>
      <c r="G25" s="6"/>
      <c r="H25" s="6"/>
      <c r="I25" s="6"/>
      <c r="J25" s="6"/>
      <c r="K25" s="6"/>
      <c r="L25" s="6"/>
      <c r="M25" s="6"/>
      <c r="N25" s="6"/>
      <c r="O25" s="6"/>
      <c r="P25" s="6"/>
      <c r="Q25" s="6"/>
      <c r="R25" s="6"/>
      <c r="S25" s="6"/>
      <c r="T25" s="6"/>
      <c r="U25" s="6"/>
      <c r="V25" s="6"/>
      <c r="W25" s="6"/>
      <c r="X25" s="6"/>
      <c r="Y25" s="22"/>
    </row>
    <row r="26" spans="2:25" x14ac:dyDescent="0.25">
      <c r="B26" s="21"/>
      <c r="C26" s="128" t="s">
        <v>357</v>
      </c>
      <c r="D26" s="51"/>
      <c r="E26" s="51"/>
      <c r="F26" s="51"/>
      <c r="G26" s="51"/>
      <c r="H26" s="51"/>
      <c r="I26" s="51"/>
      <c r="J26" s="47"/>
      <c r="K26" s="794"/>
      <c r="L26" s="795"/>
      <c r="M26" s="6"/>
      <c r="N26" s="6"/>
      <c r="O26" s="6"/>
      <c r="P26" s="6"/>
      <c r="Q26" s="6"/>
      <c r="R26" s="6"/>
      <c r="S26" s="6"/>
      <c r="T26" s="6"/>
      <c r="U26" s="6"/>
      <c r="V26" s="6"/>
      <c r="W26" s="6"/>
      <c r="X26" s="6"/>
      <c r="Y26" s="22"/>
    </row>
    <row r="27" spans="2:25" x14ac:dyDescent="0.25">
      <c r="B27" s="21"/>
      <c r="C27" s="131" t="s">
        <v>358</v>
      </c>
      <c r="D27" s="52"/>
      <c r="E27" s="52"/>
      <c r="F27" s="52"/>
      <c r="G27" s="52"/>
      <c r="H27" s="52"/>
      <c r="I27" s="52"/>
      <c r="J27" s="48"/>
      <c r="K27" s="794"/>
      <c r="L27" s="795"/>
      <c r="M27" s="6"/>
      <c r="N27" s="6"/>
      <c r="O27" s="6"/>
      <c r="P27" s="6"/>
      <c r="Q27" s="6"/>
      <c r="R27" s="6"/>
      <c r="S27" s="6"/>
      <c r="T27" s="6"/>
      <c r="U27" s="6"/>
      <c r="V27" s="6"/>
      <c r="W27" s="6"/>
      <c r="X27" s="6"/>
      <c r="Y27" s="22"/>
    </row>
    <row r="28" spans="2:25" x14ac:dyDescent="0.25">
      <c r="B28" s="21"/>
      <c r="C28" s="131" t="s">
        <v>359</v>
      </c>
      <c r="D28" s="52"/>
      <c r="E28" s="52"/>
      <c r="F28" s="52"/>
      <c r="G28" s="52"/>
      <c r="H28" s="52"/>
      <c r="I28" s="52"/>
      <c r="J28" s="48"/>
      <c r="K28" s="889" t="str">
        <f>IF(AND(K26="",K27=""),"",K26*5+K27*7)</f>
        <v/>
      </c>
      <c r="L28" s="888"/>
      <c r="M28" s="6"/>
      <c r="N28" s="6"/>
      <c r="O28" s="6"/>
      <c r="P28" s="6"/>
      <c r="Q28" s="6"/>
      <c r="R28" s="6"/>
      <c r="S28" s="6"/>
      <c r="T28" s="6"/>
      <c r="U28" s="6"/>
      <c r="V28" s="6"/>
      <c r="W28" s="6"/>
      <c r="X28" s="6"/>
      <c r="Y28" s="22"/>
    </row>
    <row r="29" spans="2:25" x14ac:dyDescent="0.25">
      <c r="B29" s="21"/>
      <c r="C29" s="6"/>
      <c r="D29" s="6"/>
      <c r="E29" s="6"/>
      <c r="F29" s="6"/>
      <c r="G29" s="6"/>
      <c r="H29" s="6"/>
      <c r="I29" s="6"/>
      <c r="J29" s="6"/>
      <c r="K29" s="6"/>
      <c r="L29" s="6"/>
      <c r="M29" s="6"/>
      <c r="N29" s="6"/>
      <c r="O29" s="6"/>
      <c r="P29" s="6"/>
      <c r="Q29" s="6"/>
      <c r="R29" s="6"/>
      <c r="S29" s="6"/>
      <c r="T29" s="6"/>
      <c r="U29" s="6"/>
      <c r="V29" s="6"/>
      <c r="W29" s="6"/>
      <c r="X29" s="6"/>
      <c r="Y29" s="22"/>
    </row>
    <row r="30" spans="2:25" x14ac:dyDescent="0.25">
      <c r="B30" s="21"/>
      <c r="C30" s="46" t="s">
        <v>360</v>
      </c>
      <c r="D30" s="6"/>
      <c r="E30" s="6"/>
      <c r="F30" s="6"/>
      <c r="G30" s="6"/>
      <c r="H30" s="6"/>
      <c r="I30" s="6"/>
      <c r="J30" s="741" t="s">
        <v>375</v>
      </c>
      <c r="K30" s="741"/>
      <c r="L30" s="741"/>
      <c r="M30" s="741"/>
      <c r="N30" s="6"/>
      <c r="O30" s="6"/>
      <c r="P30" s="6"/>
      <c r="Q30" s="6"/>
      <c r="R30" s="6"/>
      <c r="S30" s="6"/>
      <c r="T30" s="6"/>
      <c r="U30" s="6"/>
      <c r="V30" s="6"/>
      <c r="W30" s="6"/>
      <c r="X30" s="6"/>
      <c r="Y30" s="22"/>
    </row>
    <row r="31" spans="2:25" x14ac:dyDescent="0.25">
      <c r="B31" s="21"/>
      <c r="C31" s="6"/>
      <c r="D31" s="51" t="s">
        <v>361</v>
      </c>
      <c r="E31" s="51"/>
      <c r="F31" s="51"/>
      <c r="G31" s="51"/>
      <c r="H31" s="51"/>
      <c r="I31" s="51"/>
      <c r="J31" s="47"/>
      <c r="K31" s="794"/>
      <c r="L31" s="795"/>
      <c r="M31" s="6"/>
      <c r="N31" s="6"/>
      <c r="O31" s="6"/>
      <c r="P31" s="6"/>
      <c r="Q31" s="6"/>
      <c r="R31" s="6"/>
      <c r="S31" s="6"/>
      <c r="T31" s="6"/>
      <c r="U31" s="6"/>
      <c r="V31" s="6"/>
      <c r="W31" s="6"/>
      <c r="X31" s="6"/>
      <c r="Y31" s="22"/>
    </row>
    <row r="32" spans="2:25" x14ac:dyDescent="0.25">
      <c r="B32" s="21"/>
      <c r="C32" s="6"/>
      <c r="D32" s="52" t="s">
        <v>362</v>
      </c>
      <c r="E32" s="52"/>
      <c r="F32" s="52"/>
      <c r="G32" s="52"/>
      <c r="H32" s="52"/>
      <c r="I32" s="52"/>
      <c r="J32" s="48"/>
      <c r="K32" s="794"/>
      <c r="L32" s="795"/>
      <c r="M32" s="6"/>
      <c r="N32" s="6"/>
      <c r="O32" s="6"/>
      <c r="P32" s="6"/>
      <c r="Q32" s="6"/>
      <c r="R32" s="6"/>
      <c r="S32" s="6"/>
      <c r="T32" s="6"/>
      <c r="U32" s="6"/>
      <c r="V32" s="6"/>
      <c r="W32" s="6"/>
      <c r="X32" s="6"/>
      <c r="Y32" s="22"/>
    </row>
    <row r="33" spans="2:25" x14ac:dyDescent="0.25">
      <c r="B33" s="21"/>
      <c r="C33" s="6"/>
      <c r="D33" s="52" t="s">
        <v>363</v>
      </c>
      <c r="E33" s="52"/>
      <c r="F33" s="52"/>
      <c r="G33" s="52"/>
      <c r="H33" s="52"/>
      <c r="I33" s="52"/>
      <c r="J33" s="48"/>
      <c r="K33" s="794"/>
      <c r="L33" s="795"/>
      <c r="M33" s="6"/>
      <c r="N33" s="6"/>
      <c r="O33" s="6"/>
      <c r="P33" s="6"/>
      <c r="Q33" s="6"/>
      <c r="R33" s="6"/>
      <c r="S33" s="6"/>
      <c r="T33" s="6"/>
      <c r="U33" s="6"/>
      <c r="V33" s="6"/>
      <c r="W33" s="6"/>
      <c r="X33" s="6"/>
      <c r="Y33" s="22"/>
    </row>
    <row r="34" spans="2:25" x14ac:dyDescent="0.25">
      <c r="B34" s="21"/>
      <c r="C34" s="6"/>
      <c r="D34" s="52" t="s">
        <v>364</v>
      </c>
      <c r="E34" s="52"/>
      <c r="F34" s="52"/>
      <c r="G34" s="52"/>
      <c r="H34" s="52"/>
      <c r="I34" s="52"/>
      <c r="J34" s="48"/>
      <c r="K34" s="794"/>
      <c r="L34" s="795"/>
      <c r="M34" s="6"/>
      <c r="N34" s="6"/>
      <c r="O34" s="6"/>
      <c r="P34" s="6"/>
      <c r="Q34" s="6"/>
      <c r="R34" s="6"/>
      <c r="S34" s="6"/>
      <c r="T34" s="6"/>
      <c r="U34" s="6"/>
      <c r="V34" s="6"/>
      <c r="W34" s="6"/>
      <c r="X34" s="6"/>
      <c r="Y34" s="22"/>
    </row>
    <row r="35" spans="2:25" x14ac:dyDescent="0.25">
      <c r="B35" s="21"/>
      <c r="C35" s="6"/>
      <c r="D35" s="52" t="s">
        <v>365</v>
      </c>
      <c r="E35" s="52"/>
      <c r="F35" s="52"/>
      <c r="G35" s="52"/>
      <c r="H35" s="52"/>
      <c r="I35" s="52"/>
      <c r="J35" s="48"/>
      <c r="K35" s="794"/>
      <c r="L35" s="795"/>
      <c r="M35" s="6"/>
      <c r="N35" s="6"/>
      <c r="O35" s="6"/>
      <c r="P35" s="6"/>
      <c r="Q35" s="6"/>
      <c r="R35" s="6"/>
      <c r="S35" s="6"/>
      <c r="T35" s="6"/>
      <c r="U35" s="6"/>
      <c r="V35" s="6"/>
      <c r="W35" s="6"/>
      <c r="X35" s="6"/>
      <c r="Y35" s="22"/>
    </row>
    <row r="36" spans="2:25" x14ac:dyDescent="0.25">
      <c r="B36" s="21"/>
      <c r="C36" s="6"/>
      <c r="D36" s="52" t="s">
        <v>366</v>
      </c>
      <c r="E36" s="52"/>
      <c r="F36" s="52"/>
      <c r="G36" s="52"/>
      <c r="H36" s="52"/>
      <c r="I36" s="52"/>
      <c r="J36" s="48"/>
      <c r="K36" s="794"/>
      <c r="L36" s="795"/>
      <c r="M36" s="6"/>
      <c r="N36" s="6"/>
      <c r="O36" s="6"/>
      <c r="P36" s="6"/>
      <c r="Q36" s="6"/>
      <c r="R36" s="6"/>
      <c r="S36" s="6"/>
      <c r="T36" s="6"/>
      <c r="U36" s="6"/>
      <c r="V36" s="6"/>
      <c r="W36" s="6"/>
      <c r="X36" s="6"/>
      <c r="Y36" s="22"/>
    </row>
    <row r="37" spans="2:25" x14ac:dyDescent="0.25">
      <c r="B37" s="21"/>
      <c r="C37" s="6"/>
      <c r="D37" s="52" t="s">
        <v>367</v>
      </c>
      <c r="E37" s="52"/>
      <c r="F37" s="52"/>
      <c r="G37" s="52"/>
      <c r="H37" s="52"/>
      <c r="I37" s="52"/>
      <c r="J37" s="48"/>
      <c r="K37" s="794"/>
      <c r="L37" s="795"/>
      <c r="M37" s="6"/>
      <c r="N37" s="6"/>
      <c r="O37" s="6"/>
      <c r="P37" s="6"/>
      <c r="Q37" s="6"/>
      <c r="R37" s="6"/>
      <c r="S37" s="6"/>
      <c r="T37" s="6"/>
      <c r="U37" s="6"/>
      <c r="V37" s="6"/>
      <c r="W37" s="6"/>
      <c r="X37" s="6"/>
      <c r="Y37" s="22"/>
    </row>
    <row r="38" spans="2:25" x14ac:dyDescent="0.25">
      <c r="B38" s="21"/>
      <c r="C38" s="6"/>
      <c r="D38" s="6"/>
      <c r="E38" s="6"/>
      <c r="F38" s="6"/>
      <c r="G38" s="6"/>
      <c r="H38" s="6"/>
      <c r="I38" s="6"/>
      <c r="J38" s="6"/>
      <c r="K38" s="6"/>
      <c r="L38" s="6"/>
      <c r="M38" s="6"/>
      <c r="N38" s="6"/>
      <c r="O38" s="6"/>
      <c r="P38" s="6"/>
      <c r="Q38" s="6"/>
      <c r="R38" s="6"/>
      <c r="S38" s="6"/>
      <c r="T38" s="6"/>
      <c r="U38" s="6"/>
      <c r="V38" s="6"/>
      <c r="W38" s="6"/>
      <c r="X38" s="6"/>
      <c r="Y38" s="22"/>
    </row>
    <row r="39" spans="2:25" x14ac:dyDescent="0.25">
      <c r="B39" s="21"/>
      <c r="C39" s="46" t="s">
        <v>368</v>
      </c>
      <c r="D39" s="6"/>
      <c r="E39" s="6"/>
      <c r="F39" s="6"/>
      <c r="G39" s="6"/>
      <c r="H39" s="6"/>
      <c r="I39" s="6"/>
      <c r="J39" s="6"/>
      <c r="K39" s="6"/>
      <c r="L39" s="6"/>
      <c r="M39" s="6"/>
      <c r="N39" s="6"/>
      <c r="O39" s="6"/>
      <c r="P39" s="6"/>
      <c r="Q39" s="6"/>
      <c r="R39" s="6"/>
      <c r="S39" s="6"/>
      <c r="T39" s="6"/>
      <c r="U39" s="6"/>
      <c r="V39" s="6"/>
      <c r="W39" s="6"/>
      <c r="X39" s="6"/>
      <c r="Y39" s="22"/>
    </row>
    <row r="40" spans="2:25" x14ac:dyDescent="0.25">
      <c r="B40" s="21"/>
      <c r="C40" s="6"/>
      <c r="D40" s="51" t="s">
        <v>369</v>
      </c>
      <c r="E40" s="51"/>
      <c r="F40" s="51"/>
      <c r="G40" s="51"/>
      <c r="H40" s="51"/>
      <c r="I40" s="51"/>
      <c r="J40" s="47"/>
      <c r="K40" s="794"/>
      <c r="L40" s="795"/>
      <c r="M40" s="6"/>
      <c r="N40" s="6"/>
      <c r="O40" s="6"/>
      <c r="P40" s="6"/>
      <c r="Q40" s="6"/>
      <c r="R40" s="6"/>
      <c r="S40" s="6"/>
      <c r="T40" s="6"/>
      <c r="U40" s="6"/>
      <c r="V40" s="6"/>
      <c r="W40" s="6"/>
      <c r="X40" s="6"/>
      <c r="Y40" s="22"/>
    </row>
    <row r="41" spans="2:25" x14ac:dyDescent="0.25">
      <c r="B41" s="21"/>
      <c r="C41" s="6"/>
      <c r="D41" s="52" t="s">
        <v>370</v>
      </c>
      <c r="E41" s="52"/>
      <c r="F41" s="52"/>
      <c r="G41" s="52"/>
      <c r="H41" s="52"/>
      <c r="I41" s="52"/>
      <c r="J41" s="48"/>
      <c r="K41" s="794"/>
      <c r="L41" s="795"/>
      <c r="M41" s="6"/>
      <c r="N41" s="6"/>
      <c r="O41" s="6"/>
      <c r="P41" s="6"/>
      <c r="Q41" s="6"/>
      <c r="R41" s="6"/>
      <c r="S41" s="6"/>
      <c r="T41" s="6"/>
      <c r="U41" s="6"/>
      <c r="V41" s="6"/>
      <c r="W41" s="6"/>
      <c r="X41" s="6"/>
      <c r="Y41" s="22"/>
    </row>
    <row r="42" spans="2:25" x14ac:dyDescent="0.25">
      <c r="B42" s="21"/>
      <c r="C42" s="6"/>
      <c r="D42" s="52" t="s">
        <v>371</v>
      </c>
      <c r="E42" s="52"/>
      <c r="F42" s="52"/>
      <c r="G42" s="52"/>
      <c r="H42" s="52"/>
      <c r="I42" s="52"/>
      <c r="J42" s="48"/>
      <c r="K42" s="794"/>
      <c r="L42" s="795"/>
      <c r="M42" s="6"/>
      <c r="N42" s="6"/>
      <c r="O42" s="6"/>
      <c r="P42" s="6"/>
      <c r="Q42" s="6"/>
      <c r="R42" s="6"/>
      <c r="S42" s="6"/>
      <c r="T42" s="6"/>
      <c r="U42" s="6"/>
      <c r="V42" s="6"/>
      <c r="W42" s="6"/>
      <c r="X42" s="6"/>
      <c r="Y42" s="22"/>
    </row>
    <row r="43" spans="2:25" x14ac:dyDescent="0.25">
      <c r="B43" s="21"/>
      <c r="C43" s="6"/>
      <c r="D43" s="52" t="s">
        <v>372</v>
      </c>
      <c r="E43" s="52"/>
      <c r="F43" s="52"/>
      <c r="G43" s="52"/>
      <c r="H43" s="52"/>
      <c r="I43" s="52"/>
      <c r="J43" s="48"/>
      <c r="K43" s="794"/>
      <c r="L43" s="795"/>
      <c r="M43" s="6"/>
      <c r="N43" s="6"/>
      <c r="O43" s="6"/>
      <c r="P43" s="6"/>
      <c r="Q43" s="6"/>
      <c r="R43" s="6"/>
      <c r="S43" s="6"/>
      <c r="T43" s="6"/>
      <c r="U43" s="6"/>
      <c r="V43" s="6"/>
      <c r="W43" s="6"/>
      <c r="X43" s="6"/>
      <c r="Y43" s="22"/>
    </row>
    <row r="44" spans="2:25" x14ac:dyDescent="0.25">
      <c r="B44" s="21"/>
      <c r="C44" s="6"/>
      <c r="D44" s="52" t="s">
        <v>373</v>
      </c>
      <c r="E44" s="52"/>
      <c r="F44" s="52"/>
      <c r="G44" s="52"/>
      <c r="H44" s="52"/>
      <c r="I44" s="52"/>
      <c r="J44" s="48"/>
      <c r="K44" s="794"/>
      <c r="L44" s="795"/>
      <c r="M44" s="6"/>
      <c r="N44" s="6"/>
      <c r="O44" s="6"/>
      <c r="P44" s="6"/>
      <c r="Q44" s="6"/>
      <c r="R44" s="6"/>
      <c r="S44" s="6"/>
      <c r="T44" s="6"/>
      <c r="U44" s="6"/>
      <c r="V44" s="6"/>
      <c r="W44" s="6"/>
      <c r="X44" s="6"/>
      <c r="Y44" s="22"/>
    </row>
    <row r="45" spans="2:25" x14ac:dyDescent="0.25">
      <c r="B45" s="21"/>
      <c r="C45" s="6"/>
      <c r="D45" s="6"/>
      <c r="E45" s="6"/>
      <c r="F45" s="6"/>
      <c r="G45" s="6"/>
      <c r="H45" s="6"/>
      <c r="I45" s="6"/>
      <c r="J45" s="6"/>
      <c r="K45" s="6"/>
      <c r="L45" s="6"/>
      <c r="M45" s="6"/>
      <c r="N45" s="6"/>
      <c r="O45" s="6"/>
      <c r="P45" s="6"/>
      <c r="Q45" s="6"/>
      <c r="R45" s="6"/>
      <c r="S45" s="6"/>
      <c r="T45" s="6"/>
      <c r="U45" s="6"/>
      <c r="V45" s="6"/>
      <c r="W45" s="6"/>
      <c r="X45" s="6"/>
      <c r="Y45" s="22"/>
    </row>
    <row r="46" spans="2:25" x14ac:dyDescent="0.25">
      <c r="B46" s="21"/>
      <c r="C46" s="128" t="s">
        <v>374</v>
      </c>
      <c r="D46" s="51"/>
      <c r="E46" s="51"/>
      <c r="F46" s="51"/>
      <c r="G46" s="51"/>
      <c r="H46" s="51"/>
      <c r="I46" s="51"/>
      <c r="J46" s="47"/>
      <c r="K46" s="889" t="str">
        <f>IF(AND(K24="OUI",K28&lt;&gt;""),SUM(K31:L37)+SUM(K40:L44),IF(K28&lt;&gt;"",K28,""))</f>
        <v/>
      </c>
      <c r="L46" s="888"/>
      <c r="M46" s="6"/>
      <c r="N46" s="173" t="str">
        <f>IF(K46&gt;K28,"Attention : nombre de données manquantes &gt; nombre de données à enregistrer","")</f>
        <v/>
      </c>
      <c r="O46" s="6"/>
      <c r="P46" s="6"/>
      <c r="Q46" s="6"/>
      <c r="R46" s="6"/>
      <c r="S46" s="6"/>
      <c r="T46" s="6"/>
      <c r="U46" s="6"/>
      <c r="V46" s="6"/>
      <c r="W46" s="6"/>
      <c r="X46" s="6"/>
      <c r="Y46" s="22"/>
    </row>
    <row r="47" spans="2:25" x14ac:dyDescent="0.25">
      <c r="B47" s="21"/>
      <c r="C47" s="6"/>
      <c r="D47" s="6"/>
      <c r="E47" s="6"/>
      <c r="F47" s="6"/>
      <c r="G47" s="6"/>
      <c r="H47" s="6"/>
      <c r="I47" s="6"/>
      <c r="J47" s="6"/>
      <c r="K47" s="6"/>
      <c r="L47" s="6"/>
      <c r="M47" s="6"/>
      <c r="N47" s="6"/>
      <c r="O47" s="6"/>
      <c r="P47" s="6"/>
      <c r="Q47" s="6"/>
      <c r="R47" s="6"/>
      <c r="S47" s="6"/>
      <c r="T47" s="6"/>
      <c r="U47" s="6"/>
      <c r="V47" s="6"/>
      <c r="W47" s="6"/>
      <c r="X47" s="6"/>
      <c r="Y47" s="22"/>
    </row>
    <row r="48" spans="2:25" x14ac:dyDescent="0.25">
      <c r="B48" s="21"/>
      <c r="C48" s="6"/>
      <c r="D48" s="6"/>
      <c r="E48" s="6"/>
      <c r="F48" s="6"/>
      <c r="G48" s="6"/>
      <c r="H48" s="6"/>
      <c r="I48" s="6"/>
      <c r="J48" s="6"/>
      <c r="K48" s="6"/>
      <c r="L48" s="6"/>
      <c r="M48" s="6"/>
      <c r="N48" s="6"/>
      <c r="O48" s="6"/>
      <c r="P48" s="6"/>
      <c r="Q48" s="6"/>
      <c r="R48" s="6"/>
      <c r="S48" s="6"/>
      <c r="T48" s="6"/>
      <c r="U48" s="6"/>
      <c r="V48" s="6"/>
      <c r="W48" s="6"/>
      <c r="X48" s="6"/>
      <c r="Y48" s="22"/>
    </row>
    <row r="49" spans="2:25" x14ac:dyDescent="0.25">
      <c r="B49" s="21"/>
      <c r="C49" s="46"/>
      <c r="D49" s="6"/>
      <c r="E49" s="6"/>
      <c r="F49" s="6"/>
      <c r="G49" s="6"/>
      <c r="H49" s="6"/>
      <c r="I49" s="6"/>
      <c r="J49" s="6"/>
      <c r="K49" s="6"/>
      <c r="L49" s="6"/>
      <c r="M49" s="741" t="s">
        <v>245</v>
      </c>
      <c r="N49" s="741"/>
      <c r="O49" s="6"/>
      <c r="P49" s="6"/>
      <c r="Q49" s="6"/>
      <c r="R49" s="6"/>
      <c r="S49" s="6"/>
      <c r="T49" s="6"/>
      <c r="U49" s="6"/>
      <c r="V49" s="6"/>
      <c r="W49" s="6"/>
      <c r="X49" s="6"/>
      <c r="Y49" s="22"/>
    </row>
    <row r="50" spans="2:25" x14ac:dyDescent="0.25">
      <c r="B50" s="21"/>
      <c r="C50" s="6"/>
      <c r="D50" s="6"/>
      <c r="E50" s="6"/>
      <c r="F50" s="6"/>
      <c r="G50" s="6"/>
      <c r="H50" s="6"/>
      <c r="I50" s="6"/>
      <c r="J50" s="6"/>
      <c r="K50" s="6"/>
      <c r="L50" s="6"/>
      <c r="M50" s="6"/>
      <c r="N50" s="6"/>
      <c r="O50" s="6"/>
      <c r="P50" s="6"/>
      <c r="Q50" s="6"/>
      <c r="R50" s="6"/>
      <c r="S50" s="6"/>
      <c r="T50" s="6"/>
      <c r="U50" s="6"/>
      <c r="V50" s="6"/>
      <c r="W50" s="1012" t="s">
        <v>723</v>
      </c>
      <c r="X50" s="1012"/>
      <c r="Y50" s="22"/>
    </row>
    <row r="51" spans="2:25" x14ac:dyDescent="0.25">
      <c r="B51" s="21"/>
      <c r="C51" s="6"/>
      <c r="D51" s="86" t="s">
        <v>433</v>
      </c>
      <c r="E51" s="86"/>
      <c r="F51" s="86"/>
      <c r="G51" s="86"/>
      <c r="H51" s="86"/>
      <c r="I51" s="86"/>
      <c r="J51" s="119"/>
      <c r="K51" s="874">
        <f>IFERROR(K46/K28,0)</f>
        <v>0</v>
      </c>
      <c r="L51" s="875"/>
      <c r="M51" s="806">
        <f>IFERROR(IF(cSAU=0,0,IF(OR(cIrriguante="Non",K46=""),0,IF(AND(K51&gt;=0.2,K51&lt;0.3),2,IF(AND(K51&gt;=0.1,K51&lt;0.2),4,IF(K51&lt;0.1,6,0))))),0)</f>
        <v>0</v>
      </c>
      <c r="N51" s="807"/>
      <c r="O51" s="6"/>
      <c r="P51" s="6"/>
      <c r="Q51" s="6"/>
      <c r="R51" s="6"/>
      <c r="S51" s="6"/>
      <c r="T51" s="6"/>
      <c r="U51" s="6"/>
      <c r="V51" s="6"/>
      <c r="W51" s="771">
        <v>6</v>
      </c>
      <c r="X51" s="772"/>
      <c r="Y51" s="22"/>
    </row>
    <row r="52" spans="2:25" x14ac:dyDescent="0.25">
      <c r="B52" s="21"/>
      <c r="C52" s="6"/>
      <c r="D52" s="6"/>
      <c r="E52" s="6"/>
      <c r="F52" s="6"/>
      <c r="G52" s="6"/>
      <c r="H52" s="6"/>
      <c r="I52" s="6"/>
      <c r="J52" s="6"/>
      <c r="K52" s="6"/>
      <c r="L52" s="6"/>
      <c r="M52" s="6"/>
      <c r="N52" s="6"/>
      <c r="O52" s="6"/>
      <c r="P52" s="6"/>
      <c r="Q52" s="6"/>
      <c r="R52" s="6"/>
      <c r="S52" s="6"/>
      <c r="T52" s="6"/>
      <c r="U52" s="6"/>
      <c r="V52" s="6"/>
      <c r="W52" s="6"/>
      <c r="X52" s="6"/>
      <c r="Y52" s="22"/>
    </row>
    <row r="53" spans="2:25" x14ac:dyDescent="0.25">
      <c r="B53" s="21"/>
      <c r="C53" s="6"/>
      <c r="D53" s="6"/>
      <c r="E53" s="6"/>
      <c r="F53" s="6"/>
      <c r="G53" s="6"/>
      <c r="H53" s="6"/>
      <c r="I53" s="6"/>
      <c r="J53" s="6"/>
      <c r="K53" s="6"/>
      <c r="L53" s="6"/>
      <c r="M53" s="6"/>
      <c r="N53" s="6"/>
      <c r="O53" s="6"/>
      <c r="P53" s="6"/>
      <c r="Q53" s="6"/>
      <c r="R53" s="6"/>
      <c r="S53" s="6"/>
      <c r="T53" s="6"/>
      <c r="U53" s="6"/>
      <c r="V53" s="6"/>
      <c r="W53" s="6"/>
      <c r="X53" s="6"/>
      <c r="Y53" s="22"/>
    </row>
    <row r="54" spans="2:25" x14ac:dyDescent="0.25">
      <c r="B54" s="21"/>
      <c r="C54" s="6"/>
      <c r="D54" s="102" t="s">
        <v>2532</v>
      </c>
      <c r="E54" s="6"/>
      <c r="F54" s="6"/>
      <c r="G54" s="6"/>
      <c r="H54" s="6"/>
      <c r="I54" s="6"/>
      <c r="J54" s="6"/>
      <c r="K54" s="6"/>
      <c r="L54" s="6"/>
      <c r="M54" s="6"/>
      <c r="N54" s="6"/>
      <c r="O54" s="6"/>
      <c r="P54" s="6"/>
      <c r="Q54" s="6"/>
      <c r="R54" s="6"/>
      <c r="S54" s="6"/>
      <c r="T54" s="6"/>
      <c r="U54" s="6"/>
      <c r="V54" s="6"/>
      <c r="W54" s="6"/>
      <c r="X54" s="6"/>
      <c r="Y54" s="22"/>
    </row>
    <row r="55" spans="2:25" x14ac:dyDescent="0.25">
      <c r="B55" s="21"/>
      <c r="C55" s="6"/>
      <c r="D55" s="757"/>
      <c r="E55" s="758"/>
      <c r="F55" s="758"/>
      <c r="G55" s="758"/>
      <c r="H55" s="758"/>
      <c r="I55" s="758"/>
      <c r="J55" s="758"/>
      <c r="K55" s="758"/>
      <c r="L55" s="758"/>
      <c r="M55" s="758"/>
      <c r="N55" s="758"/>
      <c r="O55" s="758"/>
      <c r="P55" s="758"/>
      <c r="Q55" s="758"/>
      <c r="R55" s="758"/>
      <c r="S55" s="758"/>
      <c r="T55" s="758"/>
      <c r="U55" s="758"/>
      <c r="V55" s="758"/>
      <c r="W55" s="758"/>
      <c r="X55" s="759"/>
      <c r="Y55" s="22"/>
    </row>
    <row r="56" spans="2:25" x14ac:dyDescent="0.25">
      <c r="B56" s="21"/>
      <c r="C56" s="6"/>
      <c r="D56" s="760"/>
      <c r="E56" s="761"/>
      <c r="F56" s="761"/>
      <c r="G56" s="761"/>
      <c r="H56" s="761"/>
      <c r="I56" s="761"/>
      <c r="J56" s="761"/>
      <c r="K56" s="761"/>
      <c r="L56" s="761"/>
      <c r="M56" s="761"/>
      <c r="N56" s="761"/>
      <c r="O56" s="761"/>
      <c r="P56" s="761"/>
      <c r="Q56" s="761"/>
      <c r="R56" s="761"/>
      <c r="S56" s="761"/>
      <c r="T56" s="761"/>
      <c r="U56" s="761"/>
      <c r="V56" s="761"/>
      <c r="W56" s="761"/>
      <c r="X56" s="762"/>
      <c r="Y56" s="22"/>
    </row>
    <row r="57" spans="2:25" x14ac:dyDescent="0.25">
      <c r="B57" s="21"/>
      <c r="C57" s="6"/>
      <c r="D57" s="760"/>
      <c r="E57" s="761"/>
      <c r="F57" s="761"/>
      <c r="G57" s="761"/>
      <c r="H57" s="761"/>
      <c r="I57" s="761"/>
      <c r="J57" s="761"/>
      <c r="K57" s="761"/>
      <c r="L57" s="761"/>
      <c r="M57" s="761"/>
      <c r="N57" s="761"/>
      <c r="O57" s="761"/>
      <c r="P57" s="761"/>
      <c r="Q57" s="761"/>
      <c r="R57" s="761"/>
      <c r="S57" s="761"/>
      <c r="T57" s="761"/>
      <c r="U57" s="761"/>
      <c r="V57" s="761"/>
      <c r="W57" s="761"/>
      <c r="X57" s="762"/>
      <c r="Y57" s="22"/>
    </row>
    <row r="58" spans="2:25" x14ac:dyDescent="0.25">
      <c r="B58" s="21"/>
      <c r="C58" s="6"/>
      <c r="D58" s="760"/>
      <c r="E58" s="761"/>
      <c r="F58" s="761"/>
      <c r="G58" s="761"/>
      <c r="H58" s="761"/>
      <c r="I58" s="761"/>
      <c r="J58" s="761"/>
      <c r="K58" s="761"/>
      <c r="L58" s="761"/>
      <c r="M58" s="761"/>
      <c r="N58" s="761"/>
      <c r="O58" s="761"/>
      <c r="P58" s="761"/>
      <c r="Q58" s="761"/>
      <c r="R58" s="761"/>
      <c r="S58" s="761"/>
      <c r="T58" s="761"/>
      <c r="U58" s="761"/>
      <c r="V58" s="761"/>
      <c r="W58" s="761"/>
      <c r="X58" s="762"/>
      <c r="Y58" s="22"/>
    </row>
    <row r="59" spans="2:25" x14ac:dyDescent="0.25">
      <c r="B59" s="21"/>
      <c r="C59" s="6"/>
      <c r="D59" s="760"/>
      <c r="E59" s="761"/>
      <c r="F59" s="761"/>
      <c r="G59" s="761"/>
      <c r="H59" s="761"/>
      <c r="I59" s="761"/>
      <c r="J59" s="761"/>
      <c r="K59" s="761"/>
      <c r="L59" s="761"/>
      <c r="M59" s="761"/>
      <c r="N59" s="761"/>
      <c r="O59" s="761"/>
      <c r="P59" s="761"/>
      <c r="Q59" s="761"/>
      <c r="R59" s="761"/>
      <c r="S59" s="761"/>
      <c r="T59" s="761"/>
      <c r="U59" s="761"/>
      <c r="V59" s="761"/>
      <c r="W59" s="761"/>
      <c r="X59" s="762"/>
      <c r="Y59" s="22"/>
    </row>
    <row r="60" spans="2:25" x14ac:dyDescent="0.25">
      <c r="B60" s="21"/>
      <c r="C60" s="6"/>
      <c r="D60" s="760"/>
      <c r="E60" s="761"/>
      <c r="F60" s="761"/>
      <c r="G60" s="761"/>
      <c r="H60" s="761"/>
      <c r="I60" s="761"/>
      <c r="J60" s="761"/>
      <c r="K60" s="761"/>
      <c r="L60" s="761"/>
      <c r="M60" s="761"/>
      <c r="N60" s="761"/>
      <c r="O60" s="761"/>
      <c r="P60" s="761"/>
      <c r="Q60" s="761"/>
      <c r="R60" s="761"/>
      <c r="S60" s="761"/>
      <c r="T60" s="761"/>
      <c r="U60" s="761"/>
      <c r="V60" s="761"/>
      <c r="W60" s="761"/>
      <c r="X60" s="762"/>
      <c r="Y60" s="22"/>
    </row>
    <row r="61" spans="2:25" x14ac:dyDescent="0.25">
      <c r="B61" s="21"/>
      <c r="C61" s="6"/>
      <c r="D61" s="760"/>
      <c r="E61" s="761"/>
      <c r="F61" s="761"/>
      <c r="G61" s="761"/>
      <c r="H61" s="761"/>
      <c r="I61" s="761"/>
      <c r="J61" s="761"/>
      <c r="K61" s="761"/>
      <c r="L61" s="761"/>
      <c r="M61" s="761"/>
      <c r="N61" s="761"/>
      <c r="O61" s="761"/>
      <c r="P61" s="761"/>
      <c r="Q61" s="761"/>
      <c r="R61" s="761"/>
      <c r="S61" s="761"/>
      <c r="T61" s="761"/>
      <c r="U61" s="761"/>
      <c r="V61" s="761"/>
      <c r="W61" s="761"/>
      <c r="X61" s="762"/>
      <c r="Y61" s="22"/>
    </row>
    <row r="62" spans="2:25" x14ac:dyDescent="0.25">
      <c r="B62" s="21"/>
      <c r="C62" s="6"/>
      <c r="D62" s="760"/>
      <c r="E62" s="761"/>
      <c r="F62" s="761"/>
      <c r="G62" s="761"/>
      <c r="H62" s="761"/>
      <c r="I62" s="761"/>
      <c r="J62" s="761"/>
      <c r="K62" s="761"/>
      <c r="L62" s="761"/>
      <c r="M62" s="761"/>
      <c r="N62" s="761"/>
      <c r="O62" s="761"/>
      <c r="P62" s="761"/>
      <c r="Q62" s="761"/>
      <c r="R62" s="761"/>
      <c r="S62" s="761"/>
      <c r="T62" s="761"/>
      <c r="U62" s="761"/>
      <c r="V62" s="761"/>
      <c r="W62" s="761"/>
      <c r="X62" s="762"/>
      <c r="Y62" s="22"/>
    </row>
    <row r="63" spans="2:25" x14ac:dyDescent="0.25">
      <c r="B63" s="21"/>
      <c r="C63" s="6"/>
      <c r="D63" s="760"/>
      <c r="E63" s="761"/>
      <c r="F63" s="761"/>
      <c r="G63" s="761"/>
      <c r="H63" s="761"/>
      <c r="I63" s="761"/>
      <c r="J63" s="761"/>
      <c r="K63" s="761"/>
      <c r="L63" s="761"/>
      <c r="M63" s="761"/>
      <c r="N63" s="761"/>
      <c r="O63" s="761"/>
      <c r="P63" s="761"/>
      <c r="Q63" s="761"/>
      <c r="R63" s="761"/>
      <c r="S63" s="761"/>
      <c r="T63" s="761"/>
      <c r="U63" s="761"/>
      <c r="V63" s="761"/>
      <c r="W63" s="761"/>
      <c r="X63" s="762"/>
      <c r="Y63" s="22"/>
    </row>
    <row r="64" spans="2:25" x14ac:dyDescent="0.25">
      <c r="B64" s="21"/>
      <c r="C64" s="6"/>
      <c r="D64" s="763"/>
      <c r="E64" s="764"/>
      <c r="F64" s="764"/>
      <c r="G64" s="764"/>
      <c r="H64" s="764"/>
      <c r="I64" s="764"/>
      <c r="J64" s="764"/>
      <c r="K64" s="764"/>
      <c r="L64" s="764"/>
      <c r="M64" s="764"/>
      <c r="N64" s="764"/>
      <c r="O64" s="764"/>
      <c r="P64" s="764"/>
      <c r="Q64" s="764"/>
      <c r="R64" s="764"/>
      <c r="S64" s="764"/>
      <c r="T64" s="764"/>
      <c r="U64" s="764"/>
      <c r="V64" s="764"/>
      <c r="W64" s="764"/>
      <c r="X64" s="765"/>
      <c r="Y64" s="22"/>
    </row>
    <row r="65" spans="2:25" x14ac:dyDescent="0.25">
      <c r="B65" s="21"/>
      <c r="C65" s="6"/>
      <c r="D65" s="6"/>
      <c r="E65" s="6"/>
      <c r="F65" s="6"/>
      <c r="G65" s="6"/>
      <c r="H65" s="6"/>
      <c r="I65" s="6"/>
      <c r="J65" s="6"/>
      <c r="K65" s="6"/>
      <c r="L65" s="6"/>
      <c r="M65" s="6"/>
      <c r="N65" s="6"/>
      <c r="O65" s="6"/>
      <c r="P65" s="6"/>
      <c r="Q65" s="6"/>
      <c r="R65" s="6"/>
      <c r="S65" s="6"/>
      <c r="T65" s="6"/>
      <c r="U65" s="6"/>
      <c r="V65" s="6"/>
      <c r="W65" s="6"/>
      <c r="X65" s="6"/>
      <c r="Y65" s="22"/>
    </row>
    <row r="66" spans="2:25" ht="15.75" thickBot="1" x14ac:dyDescent="0.3">
      <c r="B66" s="24"/>
      <c r="C66" s="25"/>
      <c r="D66" s="25"/>
      <c r="E66" s="25"/>
      <c r="F66" s="25"/>
      <c r="G66" s="25"/>
      <c r="H66" s="25"/>
      <c r="I66" s="25"/>
      <c r="J66" s="25"/>
      <c r="K66" s="25"/>
      <c r="L66" s="25"/>
      <c r="M66" s="25"/>
      <c r="N66" s="25"/>
      <c r="O66" s="25"/>
      <c r="P66" s="25"/>
      <c r="Q66" s="25"/>
      <c r="R66" s="25"/>
      <c r="S66" s="25"/>
      <c r="T66" s="25"/>
      <c r="U66" s="25"/>
      <c r="V66" s="25"/>
      <c r="W66" s="25"/>
      <c r="X66" s="25"/>
      <c r="Y66" s="26"/>
    </row>
    <row r="69" spans="2:25" ht="15.75" thickBot="1" x14ac:dyDescent="0.3"/>
    <row r="70" spans="2:25" x14ac:dyDescent="0.25">
      <c r="B70" s="18"/>
      <c r="C70" s="19"/>
      <c r="D70" s="19"/>
      <c r="E70" s="19"/>
      <c r="F70" s="19"/>
      <c r="G70" s="19"/>
      <c r="H70" s="19"/>
      <c r="I70" s="19"/>
      <c r="J70" s="19"/>
      <c r="K70" s="19"/>
      <c r="L70" s="19"/>
      <c r="M70" s="19"/>
      <c r="N70" s="19"/>
      <c r="O70" s="19"/>
      <c r="P70" s="19"/>
      <c r="Q70" s="19"/>
      <c r="R70" s="19"/>
      <c r="S70" s="19"/>
      <c r="T70" s="19"/>
      <c r="U70" s="19"/>
      <c r="V70" s="19"/>
      <c r="W70" s="19"/>
      <c r="X70" s="19"/>
      <c r="Y70" s="20"/>
    </row>
    <row r="71" spans="2:25" x14ac:dyDescent="0.25">
      <c r="B71" s="21"/>
      <c r="C71" s="6"/>
      <c r="D71" s="6"/>
      <c r="E71" s="6"/>
      <c r="F71" s="6"/>
      <c r="G71" s="6"/>
      <c r="H71" s="6"/>
      <c r="I71" s="6"/>
      <c r="J71" s="6"/>
      <c r="K71" s="6"/>
      <c r="L71" s="6"/>
      <c r="M71" s="6"/>
      <c r="N71" s="6"/>
      <c r="O71" s="6"/>
      <c r="P71" s="6"/>
      <c r="Q71" s="6"/>
      <c r="R71" s="6"/>
      <c r="S71" s="6"/>
      <c r="T71" s="6"/>
      <c r="U71" s="6"/>
      <c r="V71" s="6"/>
      <c r="W71" s="6"/>
      <c r="X71" s="6"/>
      <c r="Y71" s="22"/>
    </row>
    <row r="72" spans="2:25" ht="15" customHeight="1" x14ac:dyDescent="0.25">
      <c r="B72" s="21"/>
      <c r="C72" s="154" t="s">
        <v>2570</v>
      </c>
      <c r="D72" s="154"/>
      <c r="E72" s="154"/>
      <c r="F72" s="154"/>
      <c r="G72" s="154"/>
      <c r="H72" s="154"/>
      <c r="I72" s="154"/>
      <c r="J72" s="154"/>
      <c r="K72" s="154"/>
      <c r="L72" s="154"/>
      <c r="M72" s="154"/>
      <c r="N72" s="154"/>
      <c r="O72" s="154"/>
      <c r="P72" s="154"/>
      <c r="Q72" s="154"/>
      <c r="R72" s="154"/>
      <c r="S72" s="154"/>
      <c r="T72" s="154"/>
      <c r="U72" s="154"/>
      <c r="V72" s="154"/>
      <c r="W72" s="154"/>
      <c r="X72" s="6"/>
      <c r="Y72" s="22"/>
    </row>
    <row r="73" spans="2:25" x14ac:dyDescent="0.25">
      <c r="B73" s="21"/>
      <c r="C73" s="154"/>
      <c r="D73" s="154"/>
      <c r="E73" s="154"/>
      <c r="F73" s="154"/>
      <c r="G73" s="154"/>
      <c r="H73" s="154"/>
      <c r="I73" s="154"/>
      <c r="J73" s="154"/>
      <c r="K73" s="154"/>
      <c r="L73" s="154"/>
      <c r="M73" s="154"/>
      <c r="N73" s="154"/>
      <c r="O73" s="154"/>
      <c r="P73" s="154"/>
      <c r="Q73" s="154"/>
      <c r="R73" s="154"/>
      <c r="S73" s="154"/>
      <c r="T73" s="154"/>
      <c r="U73" s="154"/>
      <c r="V73" s="154"/>
      <c r="W73" s="154"/>
      <c r="X73" s="6"/>
      <c r="Y73" s="22"/>
    </row>
    <row r="74" spans="2:25" x14ac:dyDescent="0.25">
      <c r="B74" s="21"/>
      <c r="C74" s="154"/>
      <c r="D74" s="154"/>
      <c r="E74" s="154"/>
      <c r="F74" s="154"/>
      <c r="G74" s="154"/>
      <c r="H74" s="154"/>
      <c r="I74" s="154"/>
      <c r="J74" s="154"/>
      <c r="K74" s="154"/>
      <c r="L74" s="154"/>
      <c r="O74" s="741" t="s">
        <v>245</v>
      </c>
      <c r="P74" s="741"/>
      <c r="Q74" s="154"/>
      <c r="R74" s="154"/>
      <c r="S74" s="154"/>
      <c r="T74" s="154"/>
      <c r="U74" s="154"/>
      <c r="V74" s="154"/>
      <c r="W74" s="154"/>
      <c r="X74" s="6"/>
      <c r="Y74" s="22"/>
    </row>
    <row r="75" spans="2:25" x14ac:dyDescent="0.25">
      <c r="B75" s="21"/>
      <c r="C75" s="484" t="s">
        <v>2415</v>
      </c>
      <c r="F75" s="6"/>
      <c r="G75" s="6"/>
      <c r="H75" s="6"/>
      <c r="I75" s="6"/>
      <c r="J75" s="6"/>
      <c r="K75" s="6"/>
      <c r="L75" s="6"/>
      <c r="O75" s="6"/>
      <c r="P75" s="6"/>
      <c r="Q75" s="6"/>
      <c r="R75" s="6"/>
      <c r="S75" s="6"/>
      <c r="T75" s="6"/>
      <c r="U75" s="6"/>
      <c r="V75" s="6"/>
      <c r="W75" s="6"/>
      <c r="X75" s="6"/>
      <c r="Y75" s="22"/>
    </row>
    <row r="76" spans="2:25" x14ac:dyDescent="0.25">
      <c r="B76" s="21"/>
      <c r="D76" s="51" t="s">
        <v>376</v>
      </c>
      <c r="E76" s="51"/>
      <c r="F76" s="51"/>
      <c r="G76" s="51"/>
      <c r="H76" s="51"/>
      <c r="I76" s="51"/>
      <c r="J76" s="51"/>
      <c r="K76" s="51"/>
      <c r="L76" s="47"/>
      <c r="M76" s="794"/>
      <c r="N76" s="795"/>
      <c r="O76" s="6"/>
      <c r="P76" s="6"/>
      <c r="Q76" s="6"/>
      <c r="R76" s="6"/>
      <c r="S76" s="6"/>
      <c r="T76" s="6"/>
      <c r="U76" s="6"/>
      <c r="V76" s="6"/>
      <c r="W76" s="6"/>
      <c r="X76" s="6"/>
      <c r="Y76" s="22"/>
    </row>
    <row r="77" spans="2:25" x14ac:dyDescent="0.25">
      <c r="B77" s="21"/>
      <c r="D77" s="52" t="s">
        <v>377</v>
      </c>
      <c r="E77" s="52"/>
      <c r="F77" s="52"/>
      <c r="G77" s="52"/>
      <c r="H77" s="52"/>
      <c r="I77" s="52"/>
      <c r="J77" s="52"/>
      <c r="K77" s="52"/>
      <c r="L77" s="48"/>
      <c r="M77" s="794"/>
      <c r="N77" s="795"/>
      <c r="O77" s="6"/>
      <c r="P77" s="6"/>
      <c r="Q77" s="6"/>
      <c r="R77" s="6"/>
      <c r="S77" s="6"/>
      <c r="T77" s="6"/>
      <c r="U77" s="6"/>
      <c r="V77" s="6"/>
      <c r="W77" s="6"/>
      <c r="X77" s="6"/>
      <c r="Y77" s="22"/>
    </row>
    <row r="78" spans="2:25" x14ac:dyDescent="0.25">
      <c r="B78" s="21"/>
      <c r="D78" s="52" t="s">
        <v>378</v>
      </c>
      <c r="E78" s="52"/>
      <c r="F78" s="52"/>
      <c r="G78" s="52"/>
      <c r="H78" s="52"/>
      <c r="I78" s="52"/>
      <c r="J78" s="52"/>
      <c r="K78" s="52"/>
      <c r="L78" s="48"/>
      <c r="M78" s="794"/>
      <c r="N78" s="795"/>
      <c r="O78" s="6"/>
      <c r="P78" s="6"/>
      <c r="Q78" s="6"/>
      <c r="R78" s="6"/>
      <c r="S78" s="6"/>
      <c r="T78" s="6"/>
      <c r="U78" s="6"/>
      <c r="V78" s="6"/>
      <c r="W78" s="6"/>
      <c r="X78" s="6"/>
      <c r="Y78" s="22"/>
    </row>
    <row r="79" spans="2:25" x14ac:dyDescent="0.25">
      <c r="B79" s="21"/>
      <c r="D79" s="6"/>
      <c r="E79" s="6"/>
      <c r="F79" s="6"/>
      <c r="G79" s="6"/>
      <c r="H79" s="6"/>
      <c r="I79" s="6"/>
      <c r="J79" s="6"/>
      <c r="K79" s="6"/>
      <c r="M79" s="430"/>
      <c r="N79" s="430"/>
      <c r="O79" s="6"/>
      <c r="P79" s="6"/>
      <c r="Q79" s="6"/>
      <c r="R79" s="6"/>
      <c r="S79" s="6"/>
      <c r="T79" s="6"/>
      <c r="U79" s="6"/>
      <c r="V79" s="6"/>
      <c r="W79" s="6"/>
      <c r="X79" s="6"/>
      <c r="Y79" s="22"/>
    </row>
    <row r="80" spans="2:25" x14ac:dyDescent="0.25">
      <c r="B80" s="21"/>
      <c r="D80" s="186" t="s">
        <v>2444</v>
      </c>
      <c r="E80" s="86"/>
      <c r="F80" s="86"/>
      <c r="G80" s="86"/>
      <c r="H80" s="86"/>
      <c r="I80" s="86"/>
      <c r="J80" s="86"/>
      <c r="K80" s="86"/>
      <c r="L80" s="86"/>
      <c r="M80" s="431"/>
      <c r="N80" s="432"/>
      <c r="O80" s="1048">
        <f>MIN(IF(M76&gt;=1,1,0)+IF(M77&gt;=1,1,0)+IF(M78&gt;=1,2,0),2)</f>
        <v>0</v>
      </c>
      <c r="P80" s="1049"/>
      <c r="Q80" s="6"/>
      <c r="R80" s="6"/>
      <c r="S80" s="6"/>
      <c r="T80" s="6"/>
      <c r="U80" s="6"/>
      <c r="V80" s="6"/>
      <c r="W80" s="6"/>
      <c r="X80" s="6"/>
      <c r="Y80" s="22"/>
    </row>
    <row r="81" spans="2:25" x14ac:dyDescent="0.25">
      <c r="B81" s="21"/>
      <c r="E81" s="6"/>
      <c r="F81" s="6"/>
      <c r="G81" s="6"/>
      <c r="H81" s="6"/>
      <c r="I81" s="6"/>
      <c r="J81" s="6"/>
      <c r="K81" s="6"/>
      <c r="L81" s="6"/>
      <c r="M81" s="6"/>
      <c r="N81" s="6"/>
      <c r="O81" s="6"/>
      <c r="P81" s="6"/>
      <c r="Q81" s="6"/>
      <c r="R81" s="6"/>
      <c r="S81" s="6"/>
      <c r="T81" s="6"/>
      <c r="U81" s="6"/>
      <c r="V81" s="6"/>
      <c r="W81" s="6"/>
      <c r="X81" s="6"/>
      <c r="Y81" s="22"/>
    </row>
    <row r="82" spans="2:25" ht="15" customHeight="1" x14ac:dyDescent="0.25">
      <c r="B82" s="21"/>
      <c r="M82" s="6"/>
      <c r="N82" s="6"/>
      <c r="O82" s="6"/>
      <c r="P82" s="6"/>
      <c r="Q82" s="6"/>
      <c r="R82" s="6"/>
      <c r="S82" s="6"/>
      <c r="T82" s="6"/>
      <c r="U82" s="6"/>
      <c r="V82" s="6"/>
      <c r="Y82" s="22"/>
    </row>
    <row r="83" spans="2:25" ht="15" customHeight="1" x14ac:dyDescent="0.25">
      <c r="B83" s="21"/>
      <c r="C83" s="75" t="s">
        <v>2416</v>
      </c>
      <c r="M83" s="884" t="s">
        <v>345</v>
      </c>
      <c r="N83" s="884"/>
      <c r="O83" s="6"/>
      <c r="P83" s="6"/>
      <c r="Q83" s="6"/>
      <c r="R83" s="6"/>
      <c r="S83" s="6"/>
      <c r="T83" s="6"/>
      <c r="U83" s="6"/>
      <c r="V83" s="6"/>
      <c r="Y83" s="22"/>
    </row>
    <row r="84" spans="2:25" x14ac:dyDescent="0.25">
      <c r="B84" s="21"/>
      <c r="D84" s="486" t="s">
        <v>2417</v>
      </c>
      <c r="E84" s="51"/>
      <c r="F84" s="485"/>
      <c r="G84" s="485"/>
      <c r="H84" s="485"/>
      <c r="I84" s="485"/>
      <c r="J84" s="485"/>
      <c r="K84" s="485"/>
      <c r="L84" s="487"/>
      <c r="M84" s="794"/>
      <c r="N84" s="795"/>
      <c r="P84" s="188" t="str">
        <f>IF(M84&gt;Surfaces!O195,"Attention : surface saisie &gt; surface en horticulture","")</f>
        <v/>
      </c>
      <c r="Q84" s="6"/>
      <c r="R84" s="6"/>
      <c r="S84" s="6"/>
      <c r="T84" s="6"/>
      <c r="U84" s="6"/>
      <c r="V84" s="6"/>
      <c r="Y84" s="22"/>
    </row>
    <row r="85" spans="2:25" x14ac:dyDescent="0.25">
      <c r="B85" s="21"/>
      <c r="D85" s="215" t="s">
        <v>2542</v>
      </c>
      <c r="E85" s="52"/>
      <c r="F85" s="126"/>
      <c r="G85" s="126"/>
      <c r="H85" s="126"/>
      <c r="I85" s="126"/>
      <c r="J85" s="126"/>
      <c r="K85" s="126"/>
      <c r="L85" s="127"/>
      <c r="M85" s="874">
        <f>IFERROR(M84/Surfaces!O195,0)</f>
        <v>0</v>
      </c>
      <c r="N85" s="875"/>
      <c r="O85" s="228"/>
      <c r="P85" s="228"/>
      <c r="Q85" s="6"/>
      <c r="R85" s="6"/>
      <c r="S85" s="6"/>
      <c r="T85" s="6"/>
      <c r="U85" s="6"/>
      <c r="V85" s="6"/>
      <c r="W85" s="6"/>
      <c r="X85" s="6"/>
      <c r="Y85" s="22"/>
    </row>
    <row r="86" spans="2:25" x14ac:dyDescent="0.25">
      <c r="B86" s="21"/>
      <c r="D86" s="242"/>
      <c r="F86" s="242"/>
      <c r="G86" s="242"/>
      <c r="H86" s="242"/>
      <c r="I86" s="242"/>
      <c r="J86" s="242"/>
      <c r="K86" s="242"/>
      <c r="L86" s="242"/>
      <c r="M86" s="6"/>
      <c r="N86" s="6"/>
      <c r="Q86" s="6"/>
      <c r="R86" s="6"/>
      <c r="S86" s="6"/>
      <c r="T86" s="6"/>
      <c r="U86" s="6"/>
      <c r="V86" s="6"/>
      <c r="W86" s="6"/>
      <c r="X86" s="6"/>
      <c r="Y86" s="22"/>
    </row>
    <row r="87" spans="2:25" x14ac:dyDescent="0.25">
      <c r="B87" s="21"/>
      <c r="D87" s="86" t="s">
        <v>2445</v>
      </c>
      <c r="E87" s="44"/>
      <c r="F87" s="86"/>
      <c r="G87" s="86"/>
      <c r="H87" s="86"/>
      <c r="I87" s="86"/>
      <c r="J87" s="86"/>
      <c r="K87" s="86"/>
      <c r="L87" s="86"/>
      <c r="M87" s="44"/>
      <c r="N87" s="49"/>
      <c r="O87" s="1048">
        <f>IF(M85&gt;=0.75,2,IF(AND(M85&gt;=0.5,M85&lt;0.75),1,0))</f>
        <v>0</v>
      </c>
      <c r="P87" s="1049"/>
      <c r="Q87" s="6"/>
      <c r="R87" s="6"/>
      <c r="S87" s="6"/>
      <c r="T87" s="6"/>
      <c r="U87" s="6"/>
      <c r="V87" s="6"/>
      <c r="W87" s="6"/>
      <c r="X87" s="6"/>
      <c r="Y87" s="22"/>
    </row>
    <row r="88" spans="2:25" x14ac:dyDescent="0.25">
      <c r="B88" s="21"/>
      <c r="O88" s="433"/>
      <c r="P88" s="433"/>
      <c r="Q88" s="6"/>
      <c r="R88" s="6"/>
      <c r="S88" s="6"/>
      <c r="T88" s="6"/>
      <c r="U88" s="6"/>
      <c r="V88" s="6"/>
      <c r="Y88" s="22"/>
    </row>
    <row r="89" spans="2:25" x14ac:dyDescent="0.25">
      <c r="B89" s="21"/>
      <c r="Q89" s="6"/>
      <c r="R89" s="6"/>
      <c r="S89" s="6"/>
      <c r="T89" s="6"/>
      <c r="U89" s="6"/>
      <c r="V89" s="6"/>
      <c r="Y89" s="22"/>
    </row>
    <row r="90" spans="2:25" s="499" customFormat="1" x14ac:dyDescent="0.25">
      <c r="B90" s="21"/>
      <c r="D90" s="86" t="s">
        <v>2543</v>
      </c>
      <c r="E90" s="86"/>
      <c r="F90" s="86"/>
      <c r="G90" s="86"/>
      <c r="H90" s="86"/>
      <c r="I90" s="86"/>
      <c r="J90" s="86"/>
      <c r="K90" s="86"/>
      <c r="L90" s="119"/>
      <c r="M90" s="874">
        <f>IF(cSAU=0,0,((Surfaces!O24-Surfaces!O195) /Surfaces!O24))</f>
        <v>1</v>
      </c>
      <c r="N90" s="875"/>
      <c r="Q90" s="6"/>
      <c r="R90" s="6"/>
      <c r="S90" s="6"/>
      <c r="T90" s="6"/>
      <c r="U90" s="6"/>
      <c r="V90" s="6"/>
      <c r="W90" s="536"/>
      <c r="X90" s="536"/>
      <c r="Y90" s="22"/>
    </row>
    <row r="91" spans="2:25" s="499" customFormat="1" x14ac:dyDescent="0.25">
      <c r="B91" s="21"/>
      <c r="D91" s="86" t="s">
        <v>2544</v>
      </c>
      <c r="E91" s="86"/>
      <c r="F91" s="86"/>
      <c r="G91" s="86"/>
      <c r="H91" s="86"/>
      <c r="I91" s="86"/>
      <c r="J91" s="86"/>
      <c r="K91" s="86"/>
      <c r="L91" s="119"/>
      <c r="M91" s="874">
        <f xml:space="preserve"> IF(cSAU=0,0,(Surfaces!O195/Surfaces!O24))</f>
        <v>0</v>
      </c>
      <c r="N91" s="875"/>
      <c r="Q91" s="6"/>
      <c r="R91" s="6"/>
      <c r="S91" s="6"/>
      <c r="T91" s="6"/>
      <c r="U91" s="6"/>
      <c r="V91" s="6"/>
      <c r="W91" s="1012" t="s">
        <v>723</v>
      </c>
      <c r="X91" s="1012"/>
      <c r="Y91" s="22"/>
    </row>
    <row r="92" spans="2:25" x14ac:dyDescent="0.25">
      <c r="B92" s="21"/>
      <c r="D92" s="86" t="s">
        <v>427</v>
      </c>
      <c r="E92" s="44"/>
      <c r="F92" s="86"/>
      <c r="G92" s="86"/>
      <c r="H92" s="86"/>
      <c r="I92" s="86"/>
      <c r="J92" s="86"/>
      <c r="K92" s="86"/>
      <c r="L92" s="86"/>
      <c r="M92" s="44"/>
      <c r="N92" s="49"/>
      <c r="O92" s="885">
        <f>IF(cIrriguante="Non",0,IFERROR(MIN(O80*M90+ O87 *M91,2),0))</f>
        <v>0</v>
      </c>
      <c r="P92" s="886"/>
      <c r="Q92" s="6"/>
      <c r="R92" s="6"/>
      <c r="S92" s="6"/>
      <c r="T92" s="6"/>
      <c r="U92" s="6"/>
      <c r="V92" s="6"/>
      <c r="W92" s="771">
        <v>2</v>
      </c>
      <c r="X92" s="772"/>
      <c r="Y92" s="22"/>
    </row>
    <row r="93" spans="2:25" x14ac:dyDescent="0.25">
      <c r="B93" s="21"/>
      <c r="C93" s="6"/>
      <c r="F93" s="6"/>
      <c r="G93" s="6"/>
      <c r="H93" s="6"/>
      <c r="I93" s="6"/>
      <c r="J93" s="6"/>
      <c r="K93" s="6"/>
      <c r="L93" s="6"/>
      <c r="M93" s="6"/>
      <c r="N93" s="6"/>
      <c r="O93" s="6"/>
      <c r="P93" s="6"/>
      <c r="Q93" s="6"/>
      <c r="R93" s="6"/>
      <c r="S93" s="6"/>
      <c r="T93" s="6"/>
      <c r="U93" s="6"/>
      <c r="V93" s="6"/>
      <c r="W93" s="6"/>
      <c r="X93" s="6"/>
      <c r="Y93" s="22"/>
    </row>
    <row r="94" spans="2:25" x14ac:dyDescent="0.25">
      <c r="B94" s="21"/>
      <c r="C94" s="6"/>
      <c r="D94" s="6"/>
      <c r="E94" s="6"/>
      <c r="F94" s="6"/>
      <c r="G94" s="6"/>
      <c r="H94" s="6"/>
      <c r="I94" s="6"/>
      <c r="J94" s="6"/>
      <c r="K94" s="6"/>
      <c r="L94" s="6"/>
      <c r="M94" s="6"/>
      <c r="N94" s="6"/>
      <c r="O94" s="6"/>
      <c r="P94" s="6"/>
      <c r="Q94" s="6"/>
      <c r="R94" s="6"/>
      <c r="S94" s="6"/>
      <c r="T94" s="6"/>
      <c r="U94" s="6"/>
      <c r="V94" s="6"/>
      <c r="W94" s="6"/>
      <c r="X94" s="6"/>
      <c r="Y94" s="22"/>
    </row>
    <row r="95" spans="2:25" x14ac:dyDescent="0.25">
      <c r="B95" s="21"/>
      <c r="C95" s="6"/>
      <c r="D95" s="102" t="s">
        <v>2532</v>
      </c>
      <c r="E95" s="6"/>
      <c r="F95" s="6"/>
      <c r="G95" s="6"/>
      <c r="H95" s="6"/>
      <c r="I95" s="6"/>
      <c r="J95" s="6"/>
      <c r="K95" s="6"/>
      <c r="L95" s="6"/>
      <c r="M95" s="6"/>
      <c r="N95" s="6"/>
      <c r="O95" s="6"/>
      <c r="P95" s="6"/>
      <c r="Q95" s="6"/>
      <c r="R95" s="6"/>
      <c r="S95" s="6"/>
      <c r="T95" s="6"/>
      <c r="U95" s="6"/>
      <c r="V95" s="6"/>
      <c r="W95" s="6"/>
      <c r="X95" s="6"/>
      <c r="Y95" s="22"/>
    </row>
    <row r="96" spans="2:25" x14ac:dyDescent="0.25">
      <c r="B96" s="21"/>
      <c r="C96" s="6"/>
      <c r="D96" s="757"/>
      <c r="E96" s="758"/>
      <c r="F96" s="758"/>
      <c r="G96" s="758"/>
      <c r="H96" s="758"/>
      <c r="I96" s="758"/>
      <c r="J96" s="758"/>
      <c r="K96" s="758"/>
      <c r="L96" s="758"/>
      <c r="M96" s="758"/>
      <c r="N96" s="758"/>
      <c r="O96" s="758"/>
      <c r="P96" s="758"/>
      <c r="Q96" s="758"/>
      <c r="R96" s="758"/>
      <c r="S96" s="758"/>
      <c r="T96" s="758"/>
      <c r="U96" s="758"/>
      <c r="V96" s="758"/>
      <c r="W96" s="758"/>
      <c r="X96" s="759"/>
      <c r="Y96" s="22"/>
    </row>
    <row r="97" spans="2:25" x14ac:dyDescent="0.25">
      <c r="B97" s="21"/>
      <c r="C97" s="6"/>
      <c r="D97" s="760"/>
      <c r="E97" s="761"/>
      <c r="F97" s="761"/>
      <c r="G97" s="761"/>
      <c r="H97" s="761"/>
      <c r="I97" s="761"/>
      <c r="J97" s="761"/>
      <c r="K97" s="761"/>
      <c r="L97" s="761"/>
      <c r="M97" s="761"/>
      <c r="N97" s="761"/>
      <c r="O97" s="761"/>
      <c r="P97" s="761"/>
      <c r="Q97" s="761"/>
      <c r="R97" s="761"/>
      <c r="S97" s="761"/>
      <c r="T97" s="761"/>
      <c r="U97" s="761"/>
      <c r="V97" s="761"/>
      <c r="W97" s="761"/>
      <c r="X97" s="762"/>
      <c r="Y97" s="22"/>
    </row>
    <row r="98" spans="2:25" x14ac:dyDescent="0.25">
      <c r="B98" s="21"/>
      <c r="C98" s="6"/>
      <c r="D98" s="760"/>
      <c r="E98" s="761"/>
      <c r="F98" s="761"/>
      <c r="G98" s="761"/>
      <c r="H98" s="761"/>
      <c r="I98" s="761"/>
      <c r="J98" s="761"/>
      <c r="K98" s="761"/>
      <c r="L98" s="761"/>
      <c r="M98" s="761"/>
      <c r="N98" s="761"/>
      <c r="O98" s="761"/>
      <c r="P98" s="761"/>
      <c r="Q98" s="761"/>
      <c r="R98" s="761"/>
      <c r="S98" s="761"/>
      <c r="T98" s="761"/>
      <c r="U98" s="761"/>
      <c r="V98" s="761"/>
      <c r="W98" s="761"/>
      <c r="X98" s="762"/>
      <c r="Y98" s="22"/>
    </row>
    <row r="99" spans="2:25" x14ac:dyDescent="0.25">
      <c r="B99" s="21"/>
      <c r="C99" s="6"/>
      <c r="D99" s="760"/>
      <c r="E99" s="761"/>
      <c r="F99" s="761"/>
      <c r="G99" s="761"/>
      <c r="H99" s="761"/>
      <c r="I99" s="761"/>
      <c r="J99" s="761"/>
      <c r="K99" s="761"/>
      <c r="L99" s="761"/>
      <c r="M99" s="761"/>
      <c r="N99" s="761"/>
      <c r="O99" s="761"/>
      <c r="P99" s="761"/>
      <c r="Q99" s="761"/>
      <c r="R99" s="761"/>
      <c r="S99" s="761"/>
      <c r="T99" s="761"/>
      <c r="U99" s="761"/>
      <c r="V99" s="761"/>
      <c r="W99" s="761"/>
      <c r="X99" s="762"/>
      <c r="Y99" s="22"/>
    </row>
    <row r="100" spans="2:25" x14ac:dyDescent="0.25">
      <c r="B100" s="21"/>
      <c r="C100" s="6"/>
      <c r="D100" s="763"/>
      <c r="E100" s="764"/>
      <c r="F100" s="764"/>
      <c r="G100" s="764"/>
      <c r="H100" s="764"/>
      <c r="I100" s="764"/>
      <c r="J100" s="764"/>
      <c r="K100" s="764"/>
      <c r="L100" s="764"/>
      <c r="M100" s="764"/>
      <c r="N100" s="764"/>
      <c r="O100" s="764"/>
      <c r="P100" s="764"/>
      <c r="Q100" s="764"/>
      <c r="R100" s="764"/>
      <c r="S100" s="764"/>
      <c r="T100" s="764"/>
      <c r="U100" s="764"/>
      <c r="V100" s="764"/>
      <c r="W100" s="764"/>
      <c r="X100" s="765"/>
      <c r="Y100" s="22"/>
    </row>
    <row r="101" spans="2:25" x14ac:dyDescent="0.25">
      <c r="B101" s="21"/>
      <c r="C101" s="6"/>
      <c r="D101" s="6"/>
      <c r="E101" s="6"/>
      <c r="F101" s="6"/>
      <c r="G101" s="6"/>
      <c r="H101" s="6"/>
      <c r="I101" s="6"/>
      <c r="J101" s="6"/>
      <c r="K101" s="6"/>
      <c r="L101" s="6"/>
      <c r="M101" s="6"/>
      <c r="N101" s="6"/>
      <c r="O101" s="6"/>
      <c r="P101" s="6"/>
      <c r="Q101" s="6"/>
      <c r="R101" s="6"/>
      <c r="S101" s="6"/>
      <c r="T101" s="6"/>
      <c r="U101" s="6"/>
      <c r="V101" s="6"/>
      <c r="W101" s="6"/>
      <c r="X101" s="6"/>
      <c r="Y101" s="22"/>
    </row>
    <row r="102" spans="2:25" ht="15.75" thickBot="1" x14ac:dyDescent="0.3">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6"/>
    </row>
    <row r="105" spans="2:25" ht="15.75" thickBot="1" x14ac:dyDescent="0.3"/>
    <row r="106" spans="2:25" x14ac:dyDescent="0.25">
      <c r="B106" s="18"/>
      <c r="C106" s="19"/>
      <c r="D106" s="19"/>
      <c r="E106" s="19"/>
      <c r="F106" s="19"/>
      <c r="G106" s="19"/>
      <c r="H106" s="19"/>
      <c r="I106" s="19"/>
      <c r="J106" s="19"/>
      <c r="K106" s="19"/>
      <c r="L106" s="19"/>
      <c r="M106" s="19"/>
      <c r="N106" s="19"/>
      <c r="O106" s="19"/>
      <c r="P106" s="19"/>
      <c r="Q106" s="19"/>
      <c r="R106" s="19"/>
      <c r="S106" s="19"/>
      <c r="T106" s="19"/>
      <c r="U106" s="19"/>
      <c r="V106" s="19"/>
      <c r="W106" s="19"/>
      <c r="X106" s="19"/>
      <c r="Y106" s="20"/>
    </row>
    <row r="107" spans="2:25" x14ac:dyDescent="0.25">
      <c r="B107" s="21"/>
      <c r="C107" s="6"/>
      <c r="D107" s="6"/>
      <c r="E107" s="6"/>
      <c r="F107" s="6"/>
      <c r="G107" s="6"/>
      <c r="H107" s="6"/>
      <c r="I107" s="6"/>
      <c r="J107" s="6"/>
      <c r="K107" s="6"/>
      <c r="L107" s="6"/>
      <c r="M107" s="6"/>
      <c r="N107" s="6"/>
      <c r="O107" s="6"/>
      <c r="P107" s="6"/>
      <c r="Q107" s="6"/>
      <c r="R107" s="6"/>
      <c r="S107" s="6"/>
      <c r="T107" s="6"/>
      <c r="U107" s="6"/>
      <c r="V107" s="6"/>
      <c r="W107" s="6"/>
      <c r="X107" s="6"/>
      <c r="Y107" s="22"/>
    </row>
    <row r="108" spans="2:25" x14ac:dyDescent="0.25">
      <c r="B108" s="21"/>
      <c r="C108" s="1047" t="s">
        <v>2571</v>
      </c>
      <c r="D108" s="960"/>
      <c r="E108" s="960"/>
      <c r="F108" s="960"/>
      <c r="G108" s="960"/>
      <c r="H108" s="960"/>
      <c r="I108" s="960"/>
      <c r="J108" s="960"/>
      <c r="K108" s="960"/>
      <c r="L108" s="960"/>
      <c r="M108" s="960"/>
      <c r="N108" s="960"/>
      <c r="O108" s="960"/>
      <c r="P108" s="960"/>
      <c r="Q108" s="960"/>
      <c r="R108" s="960"/>
      <c r="S108" s="960"/>
      <c r="T108" s="960"/>
      <c r="U108" s="960"/>
      <c r="V108" s="960"/>
      <c r="W108" s="960"/>
      <c r="X108" s="6"/>
      <c r="Y108" s="22"/>
    </row>
    <row r="109" spans="2:25" x14ac:dyDescent="0.25">
      <c r="B109" s="21"/>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6"/>
      <c r="Y109" s="22"/>
    </row>
    <row r="110" spans="2:25" x14ac:dyDescent="0.25">
      <c r="B110" s="21"/>
      <c r="C110" s="6"/>
      <c r="D110" s="6"/>
      <c r="E110" s="6"/>
      <c r="F110" s="6"/>
      <c r="G110" s="6"/>
      <c r="H110" s="6"/>
      <c r="I110" s="6"/>
      <c r="J110" s="6"/>
      <c r="K110" s="6"/>
      <c r="L110" s="6"/>
      <c r="M110" s="6"/>
      <c r="N110" s="6"/>
      <c r="O110" s="6"/>
      <c r="P110" s="6"/>
      <c r="Q110" s="6"/>
      <c r="R110" s="6"/>
      <c r="S110" s="6"/>
      <c r="T110" s="6"/>
      <c r="U110" s="6"/>
      <c r="V110" s="6"/>
      <c r="W110" s="6"/>
      <c r="X110" s="6"/>
      <c r="Y110" s="22"/>
    </row>
    <row r="111" spans="2:25" x14ac:dyDescent="0.25">
      <c r="B111" s="21"/>
      <c r="C111" s="46" t="s">
        <v>2418</v>
      </c>
      <c r="D111" s="6"/>
      <c r="E111" s="6"/>
      <c r="F111" s="6"/>
      <c r="G111" s="6"/>
      <c r="H111" s="6"/>
      <c r="I111" s="6"/>
      <c r="J111" s="6"/>
      <c r="K111" s="6"/>
      <c r="L111" s="6"/>
      <c r="M111" s="6"/>
      <c r="N111" s="6"/>
      <c r="O111" s="6"/>
      <c r="P111" s="6"/>
      <c r="Q111" s="6"/>
      <c r="R111" s="6"/>
      <c r="S111" s="6"/>
      <c r="T111" s="6"/>
      <c r="U111" s="6"/>
      <c r="V111" s="6"/>
      <c r="W111" s="6"/>
      <c r="X111" s="6"/>
      <c r="Y111" s="22"/>
    </row>
    <row r="112" spans="2:25" x14ac:dyDescent="0.25">
      <c r="B112" s="21"/>
      <c r="C112" s="1038"/>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40"/>
      <c r="Y112" s="22"/>
    </row>
    <row r="113" spans="2:25" x14ac:dyDescent="0.25">
      <c r="B113" s="21"/>
      <c r="C113" s="1041"/>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3"/>
      <c r="Y113" s="22"/>
    </row>
    <row r="114" spans="2:25" x14ac:dyDescent="0.25">
      <c r="B114" s="21"/>
      <c r="C114" s="1041"/>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3"/>
      <c r="Y114" s="22"/>
    </row>
    <row r="115" spans="2:25" x14ac:dyDescent="0.25">
      <c r="B115" s="21"/>
      <c r="C115" s="1041"/>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3"/>
      <c r="Y115" s="22"/>
    </row>
    <row r="116" spans="2:25" x14ac:dyDescent="0.25">
      <c r="B116" s="21"/>
      <c r="C116" s="1044"/>
      <c r="D116" s="1045"/>
      <c r="E116" s="1045"/>
      <c r="F116" s="1045"/>
      <c r="G116" s="1045"/>
      <c r="H116" s="1045"/>
      <c r="I116" s="1045"/>
      <c r="J116" s="1045"/>
      <c r="K116" s="1045"/>
      <c r="L116" s="1045"/>
      <c r="M116" s="1045"/>
      <c r="N116" s="1045"/>
      <c r="O116" s="1045"/>
      <c r="P116" s="1045"/>
      <c r="Q116" s="1045"/>
      <c r="R116" s="1045"/>
      <c r="S116" s="1045"/>
      <c r="T116" s="1045"/>
      <c r="U116" s="1045"/>
      <c r="V116" s="1045"/>
      <c r="W116" s="1045"/>
      <c r="X116" s="1046"/>
      <c r="Y116" s="22"/>
    </row>
    <row r="117" spans="2:25" x14ac:dyDescent="0.25">
      <c r="B117" s="21"/>
      <c r="C117" s="6"/>
      <c r="D117" s="6"/>
      <c r="E117" s="6"/>
      <c r="F117" s="6"/>
      <c r="G117" s="6"/>
      <c r="H117" s="6"/>
      <c r="I117" s="6"/>
      <c r="J117" s="6"/>
      <c r="K117" s="6"/>
      <c r="L117" s="6"/>
      <c r="M117" s="6"/>
      <c r="N117" s="6"/>
      <c r="O117" s="6"/>
      <c r="P117" s="6"/>
      <c r="Q117" s="6"/>
      <c r="R117" s="6"/>
      <c r="S117" s="6"/>
      <c r="T117" s="6"/>
      <c r="U117" s="6"/>
      <c r="V117" s="6"/>
      <c r="W117" s="6"/>
      <c r="X117" s="6"/>
      <c r="Y117" s="22"/>
    </row>
    <row r="118" spans="2:25" x14ac:dyDescent="0.25">
      <c r="B118" s="21"/>
      <c r="C118" s="128" t="s">
        <v>2621</v>
      </c>
      <c r="D118" s="124"/>
      <c r="E118" s="124"/>
      <c r="F118" s="124"/>
      <c r="G118" s="124"/>
      <c r="H118" s="124"/>
      <c r="I118" s="125"/>
      <c r="J118" s="882"/>
      <c r="K118" s="883"/>
      <c r="L118" s="70" t="s">
        <v>258</v>
      </c>
      <c r="M118" s="6"/>
      <c r="N118" s="173" t="str">
        <f>IF(J118&gt;J123,"Attention : surface saisie &gt; surface irriguée","")</f>
        <v/>
      </c>
      <c r="O118" s="6"/>
      <c r="P118" s="6"/>
      <c r="Q118" s="6"/>
      <c r="R118" s="6"/>
      <c r="S118" s="6"/>
      <c r="T118" s="6"/>
      <c r="U118" s="6"/>
      <c r="V118" s="6"/>
      <c r="W118" s="6"/>
      <c r="X118" s="6"/>
      <c r="Y118" s="22"/>
    </row>
    <row r="119" spans="2:25" x14ac:dyDescent="0.25">
      <c r="B119" s="21"/>
      <c r="C119" s="6"/>
      <c r="D119" s="6"/>
      <c r="E119" s="6"/>
      <c r="F119" s="6"/>
      <c r="G119" s="6"/>
      <c r="H119" s="6"/>
      <c r="I119" s="6"/>
      <c r="J119" s="6"/>
      <c r="K119" s="6"/>
      <c r="L119" s="6"/>
      <c r="M119" s="6"/>
      <c r="N119" s="6"/>
      <c r="O119" s="6"/>
      <c r="P119" s="6"/>
      <c r="Q119" s="6"/>
      <c r="R119" s="6"/>
      <c r="S119" s="6"/>
      <c r="T119" s="6"/>
      <c r="U119" s="6"/>
      <c r="V119" s="6"/>
      <c r="W119" s="6"/>
      <c r="X119" s="6"/>
      <c r="Y119" s="22"/>
    </row>
    <row r="120" spans="2:25" x14ac:dyDescent="0.25">
      <c r="B120" s="21"/>
      <c r="C120" s="6"/>
      <c r="D120" s="6"/>
      <c r="E120" s="6"/>
      <c r="F120" s="6"/>
      <c r="G120" s="6"/>
      <c r="H120" s="6"/>
      <c r="I120" s="6"/>
      <c r="J120" s="6"/>
      <c r="K120" s="6"/>
      <c r="L120" s="6"/>
      <c r="M120" s="6"/>
      <c r="N120" s="6"/>
      <c r="O120" s="6"/>
      <c r="P120" s="6"/>
      <c r="Q120" s="6"/>
      <c r="R120" s="6"/>
      <c r="S120" s="6"/>
      <c r="T120" s="6"/>
      <c r="U120" s="6"/>
      <c r="V120" s="6"/>
      <c r="W120" s="6"/>
      <c r="X120" s="6"/>
      <c r="Y120" s="22"/>
    </row>
    <row r="121" spans="2:25" x14ac:dyDescent="0.25">
      <c r="B121" s="21"/>
      <c r="C121" s="46"/>
      <c r="D121" s="6"/>
      <c r="E121" s="6"/>
      <c r="F121" s="6"/>
      <c r="G121" s="6"/>
      <c r="H121" s="6"/>
      <c r="I121" s="6"/>
      <c r="J121" s="6"/>
      <c r="K121" s="6"/>
      <c r="L121" s="6"/>
      <c r="M121" s="6"/>
      <c r="N121" s="6"/>
      <c r="O121" s="6"/>
      <c r="P121" s="6"/>
      <c r="Q121" s="6"/>
      <c r="R121" s="6"/>
      <c r="S121" s="6"/>
      <c r="T121" s="6"/>
      <c r="U121" s="6"/>
      <c r="V121" s="6"/>
      <c r="W121" s="6"/>
      <c r="X121" s="6"/>
      <c r="Y121" s="22"/>
    </row>
    <row r="122" spans="2:25" x14ac:dyDescent="0.25">
      <c r="B122" s="21"/>
      <c r="C122" s="6"/>
      <c r="D122" s="6"/>
      <c r="E122" s="6"/>
      <c r="F122" s="6"/>
      <c r="G122" s="6"/>
      <c r="H122" s="6"/>
      <c r="I122" s="6"/>
      <c r="J122" s="6"/>
      <c r="K122" s="6"/>
      <c r="L122" s="741" t="s">
        <v>245</v>
      </c>
      <c r="M122" s="741"/>
      <c r="N122" s="6"/>
      <c r="O122" s="6"/>
      <c r="P122" s="6"/>
      <c r="Q122" s="6"/>
      <c r="R122" s="6"/>
      <c r="S122" s="6"/>
      <c r="T122" s="6"/>
      <c r="U122" s="6"/>
      <c r="V122" s="6"/>
      <c r="W122" s="6"/>
      <c r="X122" s="6"/>
      <c r="Y122" s="22"/>
    </row>
    <row r="123" spans="2:25" x14ac:dyDescent="0.25">
      <c r="B123" s="21"/>
      <c r="C123" s="6"/>
      <c r="D123" s="86" t="s">
        <v>913</v>
      </c>
      <c r="E123" s="86"/>
      <c r="F123" s="86"/>
      <c r="G123" s="86"/>
      <c r="H123" s="86"/>
      <c r="I123" s="119"/>
      <c r="J123" s="878">
        <f>K13</f>
        <v>0</v>
      </c>
      <c r="K123" s="888"/>
      <c r="L123" s="6"/>
      <c r="M123" s="6"/>
      <c r="N123" s="6"/>
      <c r="O123" s="6"/>
      <c r="P123" s="6"/>
      <c r="Q123" s="6"/>
      <c r="R123" s="6"/>
      <c r="S123" s="6"/>
      <c r="T123" s="6"/>
      <c r="U123" s="6"/>
      <c r="V123" s="6"/>
      <c r="W123" s="1012" t="s">
        <v>723</v>
      </c>
      <c r="X123" s="1012"/>
      <c r="Y123" s="22"/>
    </row>
    <row r="124" spans="2:25" x14ac:dyDescent="0.25">
      <c r="B124" s="21"/>
      <c r="C124" s="6"/>
      <c r="D124" s="87" t="s">
        <v>379</v>
      </c>
      <c r="E124" s="87"/>
      <c r="F124" s="87"/>
      <c r="G124" s="87"/>
      <c r="H124" s="87"/>
      <c r="I124" s="120"/>
      <c r="J124" s="872">
        <f>IFERROR(J118/J123,0)</f>
        <v>0</v>
      </c>
      <c r="K124" s="873"/>
      <c r="L124" s="806">
        <f>IF(cIrriguante="Non",0,IF(AND(J124&gt;=0.25,J124&lt;0.5),2,IF(AND(J124&gt;=0.5,J124&lt;0.75),4,IF(J124&gt;=0.75,6,0))))</f>
        <v>0</v>
      </c>
      <c r="M124" s="807"/>
      <c r="N124" s="6"/>
      <c r="O124" s="6"/>
      <c r="P124" s="6"/>
      <c r="Q124" s="6"/>
      <c r="R124" s="6"/>
      <c r="S124" s="6"/>
      <c r="T124" s="6"/>
      <c r="U124" s="6"/>
      <c r="V124" s="6"/>
      <c r="W124" s="771">
        <v>6</v>
      </c>
      <c r="X124" s="772"/>
      <c r="Y124" s="22"/>
    </row>
    <row r="125" spans="2:25" x14ac:dyDescent="0.25">
      <c r="B125" s="21"/>
      <c r="C125" s="6"/>
      <c r="D125" s="6"/>
      <c r="E125" s="6"/>
      <c r="F125" s="6"/>
      <c r="G125" s="6"/>
      <c r="H125" s="6"/>
      <c r="I125" s="6"/>
      <c r="J125" s="6"/>
      <c r="K125" s="6"/>
      <c r="L125" s="6"/>
      <c r="M125" s="6"/>
      <c r="N125" s="6"/>
      <c r="O125" s="6"/>
      <c r="P125" s="6"/>
      <c r="Q125" s="6"/>
      <c r="R125" s="6"/>
      <c r="S125" s="6"/>
      <c r="T125" s="6"/>
      <c r="U125" s="6"/>
      <c r="V125" s="6"/>
      <c r="W125" s="6"/>
      <c r="X125" s="6"/>
      <c r="Y125" s="22"/>
    </row>
    <row r="126" spans="2:25" ht="15.75" thickBot="1" x14ac:dyDescent="0.3">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6"/>
    </row>
    <row r="129" spans="2:25" ht="15.75" thickBot="1" x14ac:dyDescent="0.3"/>
    <row r="130" spans="2:25" x14ac:dyDescent="0.25">
      <c r="B130" s="18"/>
      <c r="C130" s="19"/>
      <c r="D130" s="19"/>
      <c r="E130" s="19"/>
      <c r="F130" s="19"/>
      <c r="G130" s="19"/>
      <c r="H130" s="19"/>
      <c r="I130" s="19"/>
      <c r="J130" s="19"/>
      <c r="K130" s="19"/>
      <c r="L130" s="19"/>
      <c r="M130" s="19"/>
      <c r="N130" s="19"/>
      <c r="O130" s="19"/>
      <c r="P130" s="19"/>
      <c r="Q130" s="19"/>
      <c r="R130" s="19"/>
      <c r="S130" s="19"/>
      <c r="T130" s="19"/>
      <c r="U130" s="19"/>
      <c r="V130" s="19"/>
      <c r="W130" s="19"/>
      <c r="X130" s="19"/>
      <c r="Y130" s="20"/>
    </row>
    <row r="131" spans="2:25" x14ac:dyDescent="0.25">
      <c r="B131" s="21"/>
      <c r="C131" s="6"/>
      <c r="D131" s="6"/>
      <c r="E131" s="6"/>
      <c r="F131" s="6"/>
      <c r="G131" s="6"/>
      <c r="H131" s="6"/>
      <c r="I131" s="6"/>
      <c r="J131" s="6"/>
      <c r="K131" s="6"/>
      <c r="L131" s="6"/>
      <c r="M131" s="6"/>
      <c r="N131" s="6"/>
      <c r="O131" s="6"/>
      <c r="P131" s="6"/>
      <c r="Q131" s="6"/>
      <c r="R131" s="6"/>
      <c r="S131" s="6"/>
      <c r="T131" s="6"/>
      <c r="U131" s="6"/>
      <c r="V131" s="6"/>
      <c r="W131" s="6"/>
      <c r="X131" s="6"/>
      <c r="Y131" s="22"/>
    </row>
    <row r="132" spans="2:25" x14ac:dyDescent="0.25">
      <c r="B132" s="21"/>
      <c r="C132" s="6"/>
      <c r="D132" s="6"/>
      <c r="E132" s="6"/>
      <c r="F132" s="6"/>
      <c r="G132" s="6"/>
      <c r="H132" s="6"/>
      <c r="I132" s="6"/>
      <c r="J132" s="6"/>
      <c r="K132" s="6"/>
      <c r="L132" s="6"/>
      <c r="M132" s="6"/>
      <c r="N132" s="6"/>
      <c r="O132" s="6"/>
      <c r="P132" s="6"/>
      <c r="Q132" s="6"/>
      <c r="R132" s="6"/>
      <c r="S132" s="6"/>
      <c r="T132" s="6"/>
      <c r="U132" s="6"/>
      <c r="V132" s="6"/>
      <c r="W132" s="6"/>
      <c r="X132" s="6"/>
      <c r="Y132" s="22"/>
    </row>
    <row r="133" spans="2:25" x14ac:dyDescent="0.25">
      <c r="B133" s="21"/>
      <c r="C133" s="128" t="s">
        <v>380</v>
      </c>
      <c r="D133" s="128"/>
      <c r="E133" s="128"/>
      <c r="F133" s="128"/>
      <c r="G133" s="128"/>
      <c r="H133" s="128"/>
      <c r="I133" s="132"/>
      <c r="J133" s="1050"/>
      <c r="K133" s="1051"/>
      <c r="L133" s="6"/>
      <c r="M133" s="6"/>
      <c r="N133" s="6"/>
      <c r="O133" s="6"/>
      <c r="P133" s="6"/>
      <c r="Q133" s="6"/>
      <c r="R133" s="6"/>
      <c r="S133" s="6"/>
      <c r="T133" s="6"/>
      <c r="U133" s="6"/>
      <c r="V133" s="6"/>
      <c r="W133" s="6"/>
      <c r="X133" s="6"/>
      <c r="Y133" s="22"/>
    </row>
    <row r="134" spans="2:25" x14ac:dyDescent="0.25">
      <c r="B134" s="21"/>
      <c r="C134" s="128" t="s">
        <v>2419</v>
      </c>
      <c r="D134" s="128"/>
      <c r="E134" s="128"/>
      <c r="F134" s="128"/>
      <c r="G134" s="128"/>
      <c r="H134" s="128"/>
      <c r="I134" s="132"/>
      <c r="J134" s="1035"/>
      <c r="K134" s="1036"/>
      <c r="L134" s="1036"/>
      <c r="M134" s="1036"/>
      <c r="N134" s="1037"/>
      <c r="O134" s="6"/>
      <c r="P134" s="6"/>
      <c r="Q134" s="6"/>
      <c r="R134" s="6"/>
      <c r="S134" s="6"/>
      <c r="T134" s="6"/>
      <c r="U134" s="6"/>
      <c r="V134" s="6"/>
      <c r="W134" s="6"/>
      <c r="X134" s="6"/>
      <c r="Y134" s="22"/>
    </row>
    <row r="135" spans="2:25" x14ac:dyDescent="0.25">
      <c r="B135" s="21"/>
      <c r="C135" s="6"/>
      <c r="D135" s="6"/>
      <c r="E135" s="6"/>
      <c r="F135" s="6"/>
      <c r="G135" s="6"/>
      <c r="H135" s="6"/>
      <c r="I135" s="6"/>
      <c r="J135" s="6"/>
      <c r="K135" s="6"/>
      <c r="L135" s="6"/>
      <c r="M135" s="6"/>
      <c r="N135" s="6"/>
      <c r="O135" s="6"/>
      <c r="P135" s="6"/>
      <c r="Q135" s="6"/>
      <c r="R135" s="6"/>
      <c r="S135" s="6"/>
      <c r="T135" s="6"/>
      <c r="U135" s="6"/>
      <c r="V135" s="6"/>
      <c r="W135" s="6"/>
      <c r="X135" s="6"/>
      <c r="Y135" s="22"/>
    </row>
    <row r="136" spans="2:25" x14ac:dyDescent="0.25">
      <c r="B136" s="21"/>
      <c r="C136" s="46"/>
      <c r="D136" s="6"/>
      <c r="E136" s="6"/>
      <c r="F136" s="6"/>
      <c r="G136" s="6"/>
      <c r="H136" s="6"/>
      <c r="I136" s="6"/>
      <c r="J136" s="6"/>
      <c r="K136" s="6"/>
      <c r="L136" s="6"/>
      <c r="M136" s="6"/>
      <c r="N136" s="6"/>
      <c r="O136" s="6"/>
      <c r="P136" s="6"/>
      <c r="Q136" s="6"/>
      <c r="R136" s="6"/>
      <c r="S136" s="6"/>
      <c r="T136" s="6"/>
      <c r="U136" s="6"/>
      <c r="V136" s="6"/>
      <c r="W136" s="6"/>
      <c r="X136" s="6"/>
      <c r="Y136" s="22"/>
    </row>
    <row r="137" spans="2:25" x14ac:dyDescent="0.25">
      <c r="B137" s="21"/>
      <c r="C137" s="6"/>
      <c r="D137" s="741" t="s">
        <v>245</v>
      </c>
      <c r="E137" s="741"/>
      <c r="F137" s="6"/>
      <c r="G137" s="6"/>
      <c r="H137" s="6"/>
      <c r="I137" s="6"/>
      <c r="J137" s="6"/>
      <c r="K137" s="6"/>
      <c r="L137" s="6"/>
      <c r="M137" s="6"/>
      <c r="N137" s="6"/>
      <c r="O137" s="6"/>
      <c r="P137" s="6"/>
      <c r="Q137" s="6"/>
      <c r="R137" s="6"/>
      <c r="S137" s="6"/>
      <c r="T137" s="6"/>
      <c r="U137" s="6"/>
      <c r="V137" s="6"/>
      <c r="W137" s="6"/>
      <c r="X137" s="6"/>
      <c r="Y137" s="22"/>
    </row>
    <row r="138" spans="2:25" x14ac:dyDescent="0.25">
      <c r="B138" s="21"/>
      <c r="C138" s="6"/>
      <c r="D138" s="6"/>
      <c r="E138" s="6"/>
      <c r="F138" s="6"/>
      <c r="G138" s="6"/>
      <c r="H138" s="6"/>
      <c r="I138" s="6"/>
      <c r="J138" s="6"/>
      <c r="K138" s="6"/>
      <c r="L138" s="6"/>
      <c r="M138" s="6"/>
      <c r="N138" s="6"/>
      <c r="O138" s="6"/>
      <c r="P138" s="6"/>
      <c r="Q138" s="6"/>
      <c r="R138" s="6"/>
      <c r="S138" s="6"/>
      <c r="T138" s="6"/>
      <c r="U138" s="6"/>
      <c r="V138" s="6"/>
      <c r="W138" s="1012" t="s">
        <v>723</v>
      </c>
      <c r="X138" s="1012"/>
      <c r="Y138" s="22"/>
    </row>
    <row r="139" spans="2:25" x14ac:dyDescent="0.25">
      <c r="B139" s="21"/>
      <c r="C139" s="6"/>
      <c r="D139" s="885">
        <f>IF(cIrriguante="Non",0,IF(J133="Oui",2,0))</f>
        <v>0</v>
      </c>
      <c r="E139" s="886"/>
      <c r="F139" s="6"/>
      <c r="G139" s="6"/>
      <c r="H139" s="6"/>
      <c r="I139" s="6"/>
      <c r="J139" s="6"/>
      <c r="K139" s="6"/>
      <c r="L139" s="6"/>
      <c r="M139" s="6"/>
      <c r="N139" s="6"/>
      <c r="O139" s="6"/>
      <c r="P139" s="6"/>
      <c r="Q139" s="6"/>
      <c r="R139" s="6"/>
      <c r="S139" s="6"/>
      <c r="T139" s="6"/>
      <c r="U139" s="6"/>
      <c r="V139" s="6"/>
      <c r="W139" s="771">
        <v>2</v>
      </c>
      <c r="X139" s="772"/>
      <c r="Y139" s="22"/>
    </row>
    <row r="140" spans="2:25" x14ac:dyDescent="0.25">
      <c r="B140" s="21"/>
      <c r="C140" s="6"/>
      <c r="D140" s="6"/>
      <c r="E140" s="6"/>
      <c r="F140" s="6"/>
      <c r="G140" s="6"/>
      <c r="H140" s="6"/>
      <c r="I140" s="6"/>
      <c r="J140" s="6"/>
      <c r="K140" s="6"/>
      <c r="L140" s="6"/>
      <c r="M140" s="6"/>
      <c r="N140" s="6"/>
      <c r="O140" s="6"/>
      <c r="P140" s="6"/>
      <c r="Q140" s="6"/>
      <c r="R140" s="6"/>
      <c r="S140" s="6"/>
      <c r="T140" s="6"/>
      <c r="U140" s="6"/>
      <c r="V140" s="6"/>
      <c r="W140" s="6"/>
      <c r="X140" s="6"/>
      <c r="Y140" s="22"/>
    </row>
    <row r="141" spans="2:25" ht="15.75" thickBot="1" x14ac:dyDescent="0.3">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6"/>
    </row>
    <row r="144" spans="2:25" ht="15.75" thickBot="1" x14ac:dyDescent="0.3"/>
    <row r="145" spans="2:25" x14ac:dyDescent="0.25">
      <c r="B145" s="18"/>
      <c r="C145" s="19"/>
      <c r="D145" s="19"/>
      <c r="E145" s="19"/>
      <c r="F145" s="19"/>
      <c r="G145" s="19"/>
      <c r="H145" s="19"/>
      <c r="I145" s="19"/>
      <c r="J145" s="19"/>
      <c r="K145" s="19"/>
      <c r="L145" s="19"/>
      <c r="M145" s="19"/>
      <c r="N145" s="19"/>
      <c r="O145" s="19"/>
      <c r="P145" s="19"/>
      <c r="Q145" s="19"/>
      <c r="R145" s="19"/>
      <c r="S145" s="19"/>
      <c r="T145" s="19"/>
      <c r="U145" s="19"/>
      <c r="V145" s="19"/>
      <c r="W145" s="19"/>
      <c r="X145" s="19"/>
      <c r="Y145" s="20"/>
    </row>
    <row r="146" spans="2:25" x14ac:dyDescent="0.25">
      <c r="B146" s="21"/>
      <c r="C146" s="6"/>
      <c r="D146" s="6"/>
      <c r="E146" s="6"/>
      <c r="F146" s="6"/>
      <c r="G146" s="6"/>
      <c r="H146" s="6"/>
      <c r="I146" s="6"/>
      <c r="J146" s="6"/>
      <c r="K146" s="6"/>
      <c r="L146" s="6"/>
      <c r="M146" s="6"/>
      <c r="N146" s="6"/>
      <c r="O146" s="6"/>
      <c r="P146" s="6"/>
      <c r="Q146" s="6"/>
      <c r="R146" s="6"/>
      <c r="S146" s="6"/>
      <c r="T146" s="6"/>
      <c r="U146" s="6"/>
      <c r="V146" s="6"/>
      <c r="W146" s="6"/>
      <c r="X146" s="6"/>
      <c r="Y146" s="22"/>
    </row>
    <row r="147" spans="2:25" x14ac:dyDescent="0.25">
      <c r="B147" s="21"/>
      <c r="C147" s="6"/>
      <c r="D147" s="6"/>
      <c r="E147" s="6"/>
      <c r="F147" s="6"/>
      <c r="G147" s="6"/>
      <c r="H147" s="6"/>
      <c r="I147" s="6"/>
      <c r="J147" s="6"/>
      <c r="K147" s="6"/>
      <c r="L147" s="6"/>
      <c r="M147" s="6"/>
      <c r="N147" s="6"/>
      <c r="O147" s="6"/>
      <c r="P147" s="6"/>
      <c r="Q147" s="6"/>
      <c r="R147" s="6"/>
      <c r="S147" s="6"/>
      <c r="T147" s="6"/>
      <c r="U147" s="6"/>
      <c r="V147" s="6"/>
      <c r="W147" s="6"/>
      <c r="X147" s="6"/>
      <c r="Y147" s="22"/>
    </row>
    <row r="148" spans="2:25" x14ac:dyDescent="0.25">
      <c r="B148" s="21"/>
      <c r="C148" s="128" t="s">
        <v>381</v>
      </c>
      <c r="D148" s="51"/>
      <c r="E148" s="51"/>
      <c r="F148" s="51"/>
      <c r="G148" s="51"/>
      <c r="H148" s="51"/>
      <c r="I148" s="51"/>
      <c r="J148" s="51"/>
      <c r="K148" s="47"/>
      <c r="L148" s="882"/>
      <c r="M148" s="883"/>
      <c r="N148" s="70" t="s">
        <v>258</v>
      </c>
      <c r="O148" s="6"/>
      <c r="P148" s="173" t="str">
        <f>IF(L148&gt;L160,"Attention : surface saisie &gt; surface irriguée","")</f>
        <v/>
      </c>
      <c r="Q148" s="6"/>
      <c r="R148" s="6"/>
      <c r="S148" s="6"/>
      <c r="T148" s="6"/>
      <c r="U148" s="6"/>
      <c r="V148" s="6"/>
      <c r="W148" s="6"/>
      <c r="X148" s="6"/>
      <c r="Y148" s="22"/>
    </row>
    <row r="149" spans="2:25" x14ac:dyDescent="0.25">
      <c r="B149" s="21"/>
      <c r="C149" s="6"/>
      <c r="D149" s="6"/>
      <c r="E149" s="6"/>
      <c r="F149" s="6"/>
      <c r="G149" s="6"/>
      <c r="H149" s="6"/>
      <c r="I149" s="6"/>
      <c r="J149" s="6"/>
      <c r="K149" s="6"/>
      <c r="L149" s="6"/>
      <c r="M149" s="6"/>
      <c r="N149" s="6"/>
      <c r="O149" s="6"/>
      <c r="P149" s="6"/>
      <c r="Q149" s="6"/>
      <c r="R149" s="6"/>
      <c r="S149" s="6"/>
      <c r="T149" s="6"/>
      <c r="U149" s="6"/>
      <c r="V149" s="6"/>
      <c r="W149" s="6"/>
      <c r="X149" s="6"/>
      <c r="Y149" s="22"/>
    </row>
    <row r="150" spans="2:25" x14ac:dyDescent="0.25">
      <c r="B150" s="21"/>
      <c r="C150" s="46" t="s">
        <v>2552</v>
      </c>
      <c r="D150" s="6"/>
      <c r="E150" s="6"/>
      <c r="F150" s="6"/>
      <c r="G150" s="6"/>
      <c r="H150" s="6"/>
      <c r="I150" s="6"/>
      <c r="J150" s="6"/>
      <c r="K150" s="6"/>
      <c r="L150" s="6"/>
      <c r="M150" s="6"/>
      <c r="N150" s="6"/>
      <c r="O150" s="6"/>
      <c r="P150" s="6"/>
      <c r="Q150" s="6"/>
      <c r="R150" s="6"/>
      <c r="S150" s="6"/>
      <c r="T150" s="6"/>
      <c r="U150" s="6"/>
      <c r="V150" s="6"/>
      <c r="W150" s="6"/>
      <c r="X150" s="6"/>
      <c r="Y150" s="22"/>
    </row>
    <row r="151" spans="2:25" x14ac:dyDescent="0.25">
      <c r="B151" s="21"/>
      <c r="C151" s="1038"/>
      <c r="D151" s="1039"/>
      <c r="E151" s="1039"/>
      <c r="F151" s="1039"/>
      <c r="G151" s="1039"/>
      <c r="H151" s="1039"/>
      <c r="I151" s="1039"/>
      <c r="J151" s="1039"/>
      <c r="K151" s="1039"/>
      <c r="L151" s="1039"/>
      <c r="M151" s="1039"/>
      <c r="N151" s="1039"/>
      <c r="O151" s="1039"/>
      <c r="P151" s="1039"/>
      <c r="Q151" s="1039"/>
      <c r="R151" s="1039"/>
      <c r="S151" s="1039"/>
      <c r="T151" s="1039"/>
      <c r="U151" s="1039"/>
      <c r="V151" s="1039"/>
      <c r="W151" s="1040"/>
      <c r="X151" s="6"/>
      <c r="Y151" s="22"/>
    </row>
    <row r="152" spans="2:25" x14ac:dyDescent="0.25">
      <c r="B152" s="21"/>
      <c r="C152" s="1041"/>
      <c r="D152" s="1042"/>
      <c r="E152" s="1042"/>
      <c r="F152" s="1042"/>
      <c r="G152" s="1042"/>
      <c r="H152" s="1042"/>
      <c r="I152" s="1042"/>
      <c r="J152" s="1042"/>
      <c r="K152" s="1042"/>
      <c r="L152" s="1042"/>
      <c r="M152" s="1042"/>
      <c r="N152" s="1042"/>
      <c r="O152" s="1042"/>
      <c r="P152" s="1042"/>
      <c r="Q152" s="1042"/>
      <c r="R152" s="1042"/>
      <c r="S152" s="1042"/>
      <c r="T152" s="1042"/>
      <c r="U152" s="1042"/>
      <c r="V152" s="1042"/>
      <c r="W152" s="1043"/>
      <c r="X152" s="6"/>
      <c r="Y152" s="22"/>
    </row>
    <row r="153" spans="2:25" x14ac:dyDescent="0.25">
      <c r="B153" s="21"/>
      <c r="C153" s="1041"/>
      <c r="D153" s="1042"/>
      <c r="E153" s="1042"/>
      <c r="F153" s="1042"/>
      <c r="G153" s="1042"/>
      <c r="H153" s="1042"/>
      <c r="I153" s="1042"/>
      <c r="J153" s="1042"/>
      <c r="K153" s="1042"/>
      <c r="L153" s="1042"/>
      <c r="M153" s="1042"/>
      <c r="N153" s="1042"/>
      <c r="O153" s="1042"/>
      <c r="P153" s="1042"/>
      <c r="Q153" s="1042"/>
      <c r="R153" s="1042"/>
      <c r="S153" s="1042"/>
      <c r="T153" s="1042"/>
      <c r="U153" s="1042"/>
      <c r="V153" s="1042"/>
      <c r="W153" s="1043"/>
      <c r="X153" s="6"/>
      <c r="Y153" s="22"/>
    </row>
    <row r="154" spans="2:25" x14ac:dyDescent="0.25">
      <c r="B154" s="21"/>
      <c r="C154" s="1041"/>
      <c r="D154" s="1042"/>
      <c r="E154" s="1042"/>
      <c r="F154" s="1042"/>
      <c r="G154" s="1042"/>
      <c r="H154" s="1042"/>
      <c r="I154" s="1042"/>
      <c r="J154" s="1042"/>
      <c r="K154" s="1042"/>
      <c r="L154" s="1042"/>
      <c r="M154" s="1042"/>
      <c r="N154" s="1042"/>
      <c r="O154" s="1042"/>
      <c r="P154" s="1042"/>
      <c r="Q154" s="1042"/>
      <c r="R154" s="1042"/>
      <c r="S154" s="1042"/>
      <c r="T154" s="1042"/>
      <c r="U154" s="1042"/>
      <c r="V154" s="1042"/>
      <c r="W154" s="1043"/>
      <c r="X154" s="6"/>
      <c r="Y154" s="22"/>
    </row>
    <row r="155" spans="2:25" x14ac:dyDescent="0.25">
      <c r="B155" s="21"/>
      <c r="C155" s="1044"/>
      <c r="D155" s="1045"/>
      <c r="E155" s="1045"/>
      <c r="F155" s="1045"/>
      <c r="G155" s="1045"/>
      <c r="H155" s="1045"/>
      <c r="I155" s="1045"/>
      <c r="J155" s="1045"/>
      <c r="K155" s="1045"/>
      <c r="L155" s="1045"/>
      <c r="M155" s="1045"/>
      <c r="N155" s="1045"/>
      <c r="O155" s="1045"/>
      <c r="P155" s="1045"/>
      <c r="Q155" s="1045"/>
      <c r="R155" s="1045"/>
      <c r="S155" s="1045"/>
      <c r="T155" s="1045"/>
      <c r="U155" s="1045"/>
      <c r="V155" s="1045"/>
      <c r="W155" s="1046"/>
      <c r="X155" s="6"/>
      <c r="Y155" s="22"/>
    </row>
    <row r="156" spans="2:25" x14ac:dyDescent="0.25">
      <c r="B156" s="21"/>
      <c r="C156" s="6"/>
      <c r="D156" s="6"/>
      <c r="E156" s="6"/>
      <c r="F156" s="6"/>
      <c r="G156" s="6"/>
      <c r="H156" s="6"/>
      <c r="I156" s="6"/>
      <c r="J156" s="6"/>
      <c r="K156" s="6"/>
      <c r="L156" s="6"/>
      <c r="M156" s="6"/>
      <c r="N156" s="6"/>
      <c r="O156" s="6"/>
      <c r="P156" s="6"/>
      <c r="Q156" s="6"/>
      <c r="R156" s="6"/>
      <c r="S156" s="6"/>
      <c r="T156" s="6"/>
      <c r="U156" s="6"/>
      <c r="V156" s="6"/>
      <c r="W156" s="6"/>
      <c r="X156" s="6"/>
      <c r="Y156" s="22"/>
    </row>
    <row r="157" spans="2:25" x14ac:dyDescent="0.25">
      <c r="B157" s="21"/>
      <c r="C157" s="6"/>
      <c r="D157" s="6"/>
      <c r="E157" s="6"/>
      <c r="F157" s="6"/>
      <c r="G157" s="6"/>
      <c r="H157" s="6"/>
      <c r="I157" s="6"/>
      <c r="J157" s="6"/>
      <c r="K157" s="6"/>
      <c r="L157" s="6"/>
      <c r="M157" s="6"/>
      <c r="N157" s="6"/>
      <c r="O157" s="6"/>
      <c r="P157" s="6"/>
      <c r="Q157" s="6"/>
      <c r="R157" s="6"/>
      <c r="S157" s="6"/>
      <c r="T157" s="6"/>
      <c r="U157" s="6"/>
      <c r="V157" s="6"/>
      <c r="W157" s="6"/>
      <c r="X157" s="6"/>
      <c r="Y157" s="22"/>
    </row>
    <row r="158" spans="2:25" x14ac:dyDescent="0.25">
      <c r="B158" s="21"/>
      <c r="C158" s="46"/>
      <c r="D158" s="6"/>
      <c r="E158" s="6"/>
      <c r="F158" s="6"/>
      <c r="G158" s="6"/>
      <c r="H158" s="6"/>
      <c r="I158" s="6"/>
      <c r="J158" s="6"/>
      <c r="K158" s="6"/>
      <c r="L158" s="6"/>
      <c r="M158" s="6"/>
      <c r="N158" s="741" t="s">
        <v>245</v>
      </c>
      <c r="O158" s="741"/>
      <c r="P158" s="6"/>
      <c r="Q158" s="6"/>
      <c r="R158" s="6"/>
      <c r="S158" s="6"/>
      <c r="T158" s="6"/>
      <c r="U158" s="6"/>
      <c r="V158" s="6"/>
      <c r="W158" s="6"/>
      <c r="X158" s="6"/>
      <c r="Y158" s="22"/>
    </row>
    <row r="159" spans="2:25" x14ac:dyDescent="0.25">
      <c r="B159" s="21"/>
      <c r="C159" s="6"/>
      <c r="D159" s="6"/>
      <c r="E159" s="6"/>
      <c r="F159" s="6"/>
      <c r="G159" s="6"/>
      <c r="H159" s="6"/>
      <c r="I159" s="6"/>
      <c r="J159" s="6"/>
      <c r="K159" s="6"/>
      <c r="L159" s="6"/>
      <c r="M159" s="6"/>
      <c r="N159" s="6"/>
      <c r="O159" s="6"/>
      <c r="P159" s="6"/>
      <c r="Q159" s="6"/>
      <c r="R159" s="6"/>
      <c r="S159" s="6"/>
      <c r="T159" s="6"/>
      <c r="U159" s="6"/>
      <c r="V159" s="6"/>
      <c r="W159" s="6"/>
      <c r="X159" s="6"/>
      <c r="Y159" s="22"/>
    </row>
    <row r="160" spans="2:25" x14ac:dyDescent="0.25">
      <c r="B160" s="21"/>
      <c r="C160" s="6"/>
      <c r="D160" s="86" t="s">
        <v>913</v>
      </c>
      <c r="E160" s="86"/>
      <c r="F160" s="86"/>
      <c r="G160" s="86"/>
      <c r="H160" s="86"/>
      <c r="I160" s="86"/>
      <c r="J160" s="86"/>
      <c r="K160" s="119"/>
      <c r="L160" s="878">
        <f>K13</f>
        <v>0</v>
      </c>
      <c r="M160" s="888"/>
      <c r="N160" s="6"/>
      <c r="O160" s="6"/>
      <c r="P160" s="6"/>
      <c r="Q160" s="6"/>
      <c r="R160" s="6"/>
      <c r="S160" s="6"/>
      <c r="T160" s="6"/>
      <c r="U160" s="6"/>
      <c r="V160" s="6"/>
      <c r="W160" s="1012" t="s">
        <v>723</v>
      </c>
      <c r="X160" s="1012"/>
      <c r="Y160" s="22"/>
    </row>
    <row r="161" spans="2:25" x14ac:dyDescent="0.25">
      <c r="B161" s="21"/>
      <c r="C161" s="6"/>
      <c r="D161" s="87" t="s">
        <v>382</v>
      </c>
      <c r="E161" s="87"/>
      <c r="F161" s="87"/>
      <c r="G161" s="87"/>
      <c r="H161" s="87"/>
      <c r="I161" s="87"/>
      <c r="J161" s="87"/>
      <c r="K161" s="120"/>
      <c r="L161" s="874">
        <f>IFERROR(L148/L160,0)</f>
        <v>0</v>
      </c>
      <c r="M161" s="875"/>
      <c r="N161" s="885">
        <f>IF(cIrriguante="Non",0,IF(AND(L161&gt;=0.25,L161&lt;0.5),2,IF(AND(L161&gt;=0.5,L161&lt;0.75),4,IF(L161&gt;=0.75,6,0))))</f>
        <v>0</v>
      </c>
      <c r="O161" s="886"/>
      <c r="P161" s="6"/>
      <c r="Q161" s="6"/>
      <c r="R161" s="6"/>
      <c r="S161" s="6"/>
      <c r="T161" s="6"/>
      <c r="U161" s="6"/>
      <c r="V161" s="6"/>
      <c r="W161" s="771">
        <v>6</v>
      </c>
      <c r="X161" s="772"/>
      <c r="Y161" s="22"/>
    </row>
    <row r="162" spans="2:25" x14ac:dyDescent="0.25">
      <c r="B162" s="21"/>
      <c r="C162" s="6"/>
      <c r="D162" s="6"/>
      <c r="E162" s="6"/>
      <c r="F162" s="6"/>
      <c r="G162" s="6"/>
      <c r="H162" s="6"/>
      <c r="I162" s="6"/>
      <c r="J162" s="6"/>
      <c r="K162" s="6"/>
      <c r="L162" s="6"/>
      <c r="M162" s="6"/>
      <c r="N162" s="6"/>
      <c r="O162" s="6"/>
      <c r="P162" s="6"/>
      <c r="Q162" s="6"/>
      <c r="R162" s="6"/>
      <c r="S162" s="6"/>
      <c r="T162" s="6"/>
      <c r="U162" s="6"/>
      <c r="V162" s="6"/>
      <c r="W162" s="6"/>
      <c r="X162" s="6"/>
      <c r="Y162" s="22"/>
    </row>
    <row r="163" spans="2:25" ht="15.75" thickBot="1" x14ac:dyDescent="0.3">
      <c r="B163" s="24"/>
      <c r="C163" s="25"/>
      <c r="D163" s="25"/>
      <c r="E163" s="25"/>
      <c r="F163" s="25"/>
      <c r="G163" s="25"/>
      <c r="H163" s="25"/>
      <c r="I163" s="25"/>
      <c r="J163" s="25"/>
      <c r="K163" s="25"/>
      <c r="L163" s="25"/>
      <c r="M163" s="25"/>
      <c r="N163" s="25"/>
      <c r="O163" s="25"/>
      <c r="P163" s="25"/>
      <c r="Q163" s="25"/>
      <c r="R163" s="25"/>
      <c r="S163" s="25"/>
      <c r="T163" s="25"/>
      <c r="U163" s="25"/>
      <c r="V163" s="25"/>
      <c r="W163" s="25"/>
      <c r="X163" s="25"/>
      <c r="Y163" s="26"/>
    </row>
    <row r="166" spans="2:25" ht="15.75" thickBot="1" x14ac:dyDescent="0.3"/>
    <row r="167" spans="2:25" x14ac:dyDescent="0.25">
      <c r="B167" s="18"/>
      <c r="C167" s="19"/>
      <c r="D167" s="19"/>
      <c r="E167" s="19"/>
      <c r="F167" s="19"/>
      <c r="G167" s="19"/>
      <c r="H167" s="19"/>
      <c r="I167" s="19"/>
      <c r="J167" s="19"/>
      <c r="K167" s="19"/>
      <c r="L167" s="19"/>
      <c r="M167" s="19"/>
      <c r="N167" s="19"/>
      <c r="O167" s="19"/>
      <c r="P167" s="19"/>
      <c r="Q167" s="19"/>
      <c r="R167" s="19"/>
      <c r="S167" s="19"/>
      <c r="T167" s="19"/>
      <c r="U167" s="19"/>
      <c r="V167" s="19"/>
      <c r="W167" s="19"/>
      <c r="X167" s="19"/>
      <c r="Y167" s="20"/>
    </row>
    <row r="168" spans="2:25" x14ac:dyDescent="0.25">
      <c r="B168" s="21"/>
      <c r="C168" s="6"/>
      <c r="D168" s="6"/>
      <c r="E168" s="6"/>
      <c r="F168" s="6"/>
      <c r="G168" s="6"/>
      <c r="H168" s="6"/>
      <c r="I168" s="6"/>
      <c r="J168" s="6"/>
      <c r="K168" s="6"/>
      <c r="L168" s="6"/>
      <c r="M168" s="6"/>
      <c r="N168" s="6"/>
      <c r="O168" s="6"/>
      <c r="P168" s="6"/>
      <c r="Q168" s="6"/>
      <c r="R168" s="6"/>
      <c r="S168" s="6"/>
      <c r="T168" s="6"/>
      <c r="U168" s="6"/>
      <c r="V168" s="6"/>
      <c r="W168" s="6"/>
      <c r="X168" s="6"/>
      <c r="Y168" s="22"/>
    </row>
    <row r="169" spans="2:25" x14ac:dyDescent="0.25">
      <c r="B169" s="21"/>
      <c r="C169" s="6"/>
      <c r="D169" s="6"/>
      <c r="E169" s="6"/>
      <c r="F169" s="6"/>
      <c r="G169" s="6"/>
      <c r="H169" s="6"/>
      <c r="I169" s="6"/>
      <c r="J169" s="6"/>
      <c r="K169" s="6"/>
      <c r="L169" s="6"/>
      <c r="M169" s="6"/>
      <c r="N169" s="6"/>
      <c r="O169" s="6"/>
      <c r="P169" s="6"/>
      <c r="Q169" s="6"/>
      <c r="R169" s="6"/>
      <c r="S169" s="6"/>
      <c r="T169" s="6"/>
      <c r="U169" s="6"/>
      <c r="V169" s="6"/>
      <c r="W169" s="6"/>
      <c r="X169" s="6"/>
      <c r="Y169" s="22"/>
    </row>
    <row r="170" spans="2:25" x14ac:dyDescent="0.25">
      <c r="B170" s="21"/>
      <c r="C170" s="46" t="s">
        <v>354</v>
      </c>
      <c r="D170" s="6"/>
      <c r="E170" s="6"/>
      <c r="F170" s="6"/>
      <c r="G170" s="6"/>
      <c r="H170" s="6"/>
      <c r="I170" s="6"/>
      <c r="J170" s="6"/>
      <c r="K170" s="6"/>
      <c r="L170" s="6"/>
      <c r="M170" s="70"/>
      <c r="N170" s="6"/>
      <c r="O170" s="6"/>
      <c r="P170" s="6"/>
      <c r="Q170" s="6"/>
      <c r="R170" s="6"/>
      <c r="S170" s="6"/>
      <c r="T170" s="6"/>
      <c r="U170" s="6"/>
      <c r="V170" s="6"/>
      <c r="W170" s="6"/>
      <c r="X170" s="6"/>
      <c r="Y170" s="22"/>
    </row>
    <row r="171" spans="2:25" x14ac:dyDescent="0.25">
      <c r="B171" s="21"/>
      <c r="C171" s="6"/>
      <c r="D171" s="51" t="s">
        <v>355</v>
      </c>
      <c r="E171" s="51"/>
      <c r="F171" s="51"/>
      <c r="G171" s="51"/>
      <c r="H171" s="51"/>
      <c r="I171" s="51"/>
      <c r="J171" s="47"/>
      <c r="K171" s="882"/>
      <c r="L171" s="883"/>
      <c r="M171" s="70" t="s">
        <v>348</v>
      </c>
      <c r="N171" s="6"/>
      <c r="O171" s="6"/>
      <c r="P171" s="6"/>
      <c r="Q171" s="6"/>
      <c r="R171" s="6"/>
      <c r="S171" s="6"/>
      <c r="T171" s="6"/>
      <c r="U171" s="6"/>
      <c r="V171" s="6"/>
      <c r="W171" s="6"/>
      <c r="X171" s="6"/>
      <c r="Y171" s="22"/>
    </row>
    <row r="172" spans="2:25" x14ac:dyDescent="0.25">
      <c r="B172" s="21"/>
      <c r="C172" s="6"/>
      <c r="D172" s="52" t="s">
        <v>385</v>
      </c>
      <c r="E172" s="52"/>
      <c r="F172" s="52"/>
      <c r="G172" s="52"/>
      <c r="H172" s="52"/>
      <c r="I172" s="52"/>
      <c r="J172" s="48"/>
      <c r="K172" s="882"/>
      <c r="L172" s="883"/>
      <c r="M172" s="70" t="s">
        <v>348</v>
      </c>
      <c r="N172" s="6"/>
      <c r="O172" s="6"/>
      <c r="P172" s="6"/>
      <c r="Q172" s="6"/>
      <c r="R172" s="6"/>
      <c r="S172" s="6"/>
      <c r="T172" s="6"/>
      <c r="U172" s="6"/>
      <c r="V172" s="6"/>
      <c r="W172" s="6"/>
      <c r="X172" s="6"/>
      <c r="Y172" s="22"/>
    </row>
    <row r="173" spans="2:25" x14ac:dyDescent="0.25">
      <c r="B173" s="21"/>
      <c r="C173" s="6"/>
      <c r="D173" s="6"/>
      <c r="E173" s="6"/>
      <c r="F173" s="6"/>
      <c r="G173" s="6"/>
      <c r="H173" s="6"/>
      <c r="I173" s="6"/>
      <c r="J173" s="6"/>
      <c r="K173" s="85"/>
      <c r="L173" s="85"/>
      <c r="M173" s="70"/>
      <c r="N173" s="6"/>
      <c r="O173" s="6"/>
      <c r="P173" s="6"/>
      <c r="Q173" s="6"/>
      <c r="R173" s="6"/>
      <c r="S173" s="6"/>
      <c r="T173" s="6"/>
      <c r="U173" s="6"/>
      <c r="V173" s="6"/>
      <c r="W173" s="6"/>
      <c r="X173" s="6"/>
      <c r="Y173" s="22"/>
    </row>
    <row r="174" spans="2:25" x14ac:dyDescent="0.25">
      <c r="B174" s="21"/>
      <c r="C174" s="6"/>
      <c r="D174" s="6"/>
      <c r="E174" s="6"/>
      <c r="F174" s="6"/>
      <c r="G174" s="6"/>
      <c r="H174" s="6"/>
      <c r="I174" s="6"/>
      <c r="J174" s="6"/>
      <c r="K174" s="85"/>
      <c r="L174" s="85"/>
      <c r="M174" s="70"/>
      <c r="N174" s="6"/>
      <c r="O174" s="6"/>
      <c r="P174" s="6"/>
      <c r="Q174" s="6"/>
      <c r="R174" s="6"/>
      <c r="S174" s="6"/>
      <c r="T174" s="6"/>
      <c r="U174" s="6"/>
      <c r="V174" s="6"/>
      <c r="W174" s="6"/>
      <c r="X174" s="6"/>
      <c r="Y174" s="22"/>
    </row>
    <row r="175" spans="2:25" x14ac:dyDescent="0.25">
      <c r="B175" s="21"/>
      <c r="C175" s="1047" t="s">
        <v>2446</v>
      </c>
      <c r="D175" s="1047"/>
      <c r="E175" s="1047"/>
      <c r="F175" s="1047"/>
      <c r="G175" s="1047"/>
      <c r="H175" s="1047"/>
      <c r="I175" s="1047"/>
      <c r="J175" s="1047"/>
      <c r="K175" s="1047"/>
      <c r="L175" s="1047"/>
      <c r="M175" s="1047"/>
      <c r="N175" s="1047"/>
      <c r="O175" s="1047"/>
      <c r="P175" s="1047"/>
      <c r="Q175" s="1047"/>
      <c r="R175" s="1047"/>
      <c r="S175" s="1047"/>
      <c r="T175" s="1047"/>
      <c r="U175" s="1047"/>
      <c r="V175" s="1047"/>
      <c r="W175" s="1047"/>
      <c r="X175" s="1047"/>
      <c r="Y175" s="22"/>
    </row>
    <row r="176" spans="2:25" x14ac:dyDescent="0.25">
      <c r="B176" s="21"/>
      <c r="C176" s="1047"/>
      <c r="D176" s="1047"/>
      <c r="E176" s="1047"/>
      <c r="F176" s="1047"/>
      <c r="G176" s="1047"/>
      <c r="H176" s="1047"/>
      <c r="I176" s="1047"/>
      <c r="J176" s="1047"/>
      <c r="K176" s="1047"/>
      <c r="L176" s="1047"/>
      <c r="M176" s="1047"/>
      <c r="N176" s="1047"/>
      <c r="O176" s="1047"/>
      <c r="P176" s="1047"/>
      <c r="Q176" s="1047"/>
      <c r="R176" s="1047"/>
      <c r="S176" s="1047"/>
      <c r="T176" s="1047"/>
      <c r="U176" s="1047"/>
      <c r="V176" s="1047"/>
      <c r="W176" s="1047"/>
      <c r="X176" s="1047"/>
      <c r="Y176" s="22"/>
    </row>
    <row r="177" spans="2:29" x14ac:dyDescent="0.25">
      <c r="B177" s="21"/>
      <c r="C177" s="960" t="s">
        <v>2420</v>
      </c>
      <c r="D177" s="960"/>
      <c r="E177" s="960"/>
      <c r="F177" s="960"/>
      <c r="G177" s="960"/>
      <c r="H177" s="960"/>
      <c r="I177" s="960"/>
      <c r="J177" s="960"/>
      <c r="K177" s="960"/>
      <c r="L177" s="960"/>
      <c r="M177" s="960"/>
      <c r="N177" s="960"/>
      <c r="O177" s="960"/>
      <c r="P177" s="960"/>
      <c r="Q177" s="960"/>
      <c r="R177" s="960"/>
      <c r="S177" s="960"/>
      <c r="T177" s="960"/>
      <c r="U177" s="960"/>
      <c r="V177" s="960"/>
      <c r="W177" s="960"/>
      <c r="X177" s="960"/>
      <c r="Y177" s="22"/>
    </row>
    <row r="178" spans="2:29" x14ac:dyDescent="0.25">
      <c r="B178" s="21"/>
      <c r="C178" s="960"/>
      <c r="D178" s="960"/>
      <c r="E178" s="960"/>
      <c r="F178" s="960"/>
      <c r="G178" s="960"/>
      <c r="H178" s="960"/>
      <c r="I178" s="960"/>
      <c r="J178" s="960"/>
      <c r="K178" s="960"/>
      <c r="L178" s="960"/>
      <c r="M178" s="960"/>
      <c r="N178" s="960"/>
      <c r="O178" s="960"/>
      <c r="P178" s="960"/>
      <c r="Q178" s="960"/>
      <c r="R178" s="960"/>
      <c r="S178" s="960"/>
      <c r="T178" s="960"/>
      <c r="U178" s="960"/>
      <c r="V178" s="960"/>
      <c r="W178" s="960"/>
      <c r="X178" s="960"/>
      <c r="Y178" s="22"/>
    </row>
    <row r="179" spans="2:29" x14ac:dyDescent="0.25">
      <c r="B179" s="21"/>
      <c r="C179" s="6"/>
      <c r="D179" s="6"/>
      <c r="E179" s="6"/>
      <c r="F179" s="6"/>
      <c r="G179" s="6"/>
      <c r="H179" s="6"/>
      <c r="I179" s="6"/>
      <c r="J179" s="6"/>
      <c r="K179" s="6"/>
      <c r="L179" s="6"/>
      <c r="M179" s="6"/>
      <c r="N179" s="6"/>
      <c r="O179" s="6"/>
      <c r="P179" s="6"/>
      <c r="Q179" s="6"/>
      <c r="R179" s="6"/>
      <c r="S179" s="6"/>
      <c r="T179" s="6"/>
      <c r="U179" s="6"/>
      <c r="V179" s="6"/>
      <c r="W179" s="6"/>
      <c r="X179" s="6"/>
      <c r="Y179" s="22"/>
    </row>
    <row r="180" spans="2:29" x14ac:dyDescent="0.25">
      <c r="B180" s="21"/>
      <c r="C180" s="6"/>
      <c r="D180" s="6"/>
      <c r="E180" s="6"/>
      <c r="F180" s="6"/>
      <c r="G180" s="6"/>
      <c r="H180" s="6"/>
      <c r="I180" s="6"/>
      <c r="J180" s="6"/>
      <c r="K180" s="6"/>
      <c r="L180" s="6"/>
      <c r="M180" s="6"/>
      <c r="N180" s="6"/>
      <c r="O180" s="6"/>
      <c r="P180" s="6"/>
      <c r="Q180" s="6"/>
      <c r="R180" s="6"/>
      <c r="S180" s="6"/>
      <c r="T180" s="6"/>
      <c r="U180" s="6"/>
      <c r="V180" s="6"/>
      <c r="W180" s="6"/>
      <c r="X180" s="6"/>
      <c r="Y180" s="22"/>
    </row>
    <row r="181" spans="2:29" x14ac:dyDescent="0.25">
      <c r="B181" s="21"/>
      <c r="C181" s="46"/>
      <c r="D181" s="6"/>
      <c r="E181" s="6"/>
      <c r="F181" s="6"/>
      <c r="G181" s="6"/>
      <c r="H181" s="6"/>
      <c r="I181" s="6"/>
      <c r="J181" s="6"/>
      <c r="K181" s="6"/>
      <c r="L181" s="6"/>
      <c r="M181" s="741" t="s">
        <v>245</v>
      </c>
      <c r="N181" s="741"/>
      <c r="O181" s="6"/>
      <c r="P181" s="6"/>
      <c r="Q181" s="6"/>
      <c r="R181" s="6"/>
      <c r="S181" s="6"/>
      <c r="T181" s="6"/>
      <c r="U181" s="6"/>
      <c r="V181" s="6"/>
      <c r="W181" s="6"/>
      <c r="X181" s="6"/>
      <c r="Y181" s="22"/>
    </row>
    <row r="182" spans="2:29" x14ac:dyDescent="0.25">
      <c r="B182" s="21"/>
      <c r="C182" s="6"/>
      <c r="D182" s="6"/>
      <c r="E182" s="6"/>
      <c r="F182" s="6"/>
      <c r="G182" s="6"/>
      <c r="H182" s="6"/>
      <c r="I182" s="6"/>
      <c r="J182" s="6"/>
      <c r="K182" s="6"/>
      <c r="L182" s="6"/>
      <c r="M182" s="6"/>
      <c r="N182" s="6"/>
      <c r="O182" s="6"/>
      <c r="P182" s="6"/>
      <c r="Q182" s="6"/>
      <c r="R182" s="6"/>
      <c r="S182" s="6"/>
      <c r="T182" s="6"/>
      <c r="U182" s="6"/>
      <c r="V182" s="6"/>
      <c r="W182" s="6"/>
      <c r="X182" s="6"/>
      <c r="Y182" s="22"/>
    </row>
    <row r="183" spans="2:29" x14ac:dyDescent="0.25">
      <c r="B183" s="21"/>
      <c r="C183" s="6"/>
      <c r="D183" s="86" t="s">
        <v>383</v>
      </c>
      <c r="E183" s="86"/>
      <c r="F183" s="86"/>
      <c r="G183" s="86"/>
      <c r="H183" s="86"/>
      <c r="I183" s="86"/>
      <c r="J183" s="119"/>
      <c r="K183" s="878">
        <f>SUM(K171:L172)</f>
        <v>0</v>
      </c>
      <c r="L183" s="879"/>
      <c r="M183" s="6"/>
      <c r="N183" s="6"/>
      <c r="O183" s="6"/>
      <c r="P183" s="244"/>
      <c r="Q183" s="6"/>
      <c r="R183" s="6"/>
      <c r="S183" s="6"/>
      <c r="T183" s="6"/>
      <c r="U183" s="6"/>
      <c r="V183" s="6"/>
      <c r="W183" s="1012" t="s">
        <v>723</v>
      </c>
      <c r="X183" s="1012"/>
      <c r="Y183" s="22"/>
    </row>
    <row r="184" spans="2:29" x14ac:dyDescent="0.25">
      <c r="B184" s="21"/>
      <c r="C184" s="6"/>
      <c r="D184" s="87" t="s">
        <v>384</v>
      </c>
      <c r="E184" s="87"/>
      <c r="F184" s="87"/>
      <c r="G184" s="87"/>
      <c r="H184" s="87"/>
      <c r="I184" s="87"/>
      <c r="J184" s="120"/>
      <c r="K184" s="874">
        <f>IFERROR(K172/K183,0)</f>
        <v>0</v>
      </c>
      <c r="L184" s="875"/>
      <c r="M184" s="885">
        <f>IF(cIrriguante="Non",0,IF(OR(K171="",K172=""),0,AC184))</f>
        <v>0</v>
      </c>
      <c r="N184" s="886"/>
      <c r="O184" s="6"/>
      <c r="P184" s="9"/>
      <c r="Q184" s="6"/>
      <c r="R184" s="6"/>
      <c r="S184" s="6"/>
      <c r="T184" s="6"/>
      <c r="U184" s="6"/>
      <c r="V184" s="6"/>
      <c r="W184" s="771">
        <v>5</v>
      </c>
      <c r="X184" s="772"/>
      <c r="Y184" s="22"/>
      <c r="AC184">
        <f>IF(K184&lt;0.2,5,IF(AND(K184&gt;=0.2,K184&lt;0.4),4,IF(AND(K184&gt;=0.4,K184&lt;0.6),3,IF(AND(K184&gt;=0.6,K184&lt;0.8),2,IF(AND(K184&gt;=0.8,K184&lt;0.9),1,0)))))</f>
        <v>5</v>
      </c>
    </row>
    <row r="185" spans="2:29" x14ac:dyDescent="0.25">
      <c r="B185" s="21"/>
      <c r="C185" s="6"/>
      <c r="D185" s="6"/>
      <c r="E185" s="6"/>
      <c r="F185" s="6"/>
      <c r="G185" s="6"/>
      <c r="H185" s="6"/>
      <c r="I185" s="6"/>
      <c r="J185" s="6"/>
      <c r="K185" s="6"/>
      <c r="L185" s="6"/>
      <c r="M185" s="6"/>
      <c r="N185" s="6"/>
      <c r="O185" s="6"/>
      <c r="P185" s="6"/>
      <c r="Q185" s="6"/>
      <c r="R185" s="6"/>
      <c r="S185" s="6"/>
      <c r="T185" s="6"/>
      <c r="U185" s="6"/>
      <c r="V185" s="6"/>
      <c r="W185" s="6"/>
      <c r="X185" s="6"/>
      <c r="Y185" s="22"/>
    </row>
    <row r="186" spans="2:29" x14ac:dyDescent="0.25">
      <c r="B186" s="21"/>
      <c r="C186" s="6"/>
      <c r="D186" s="6"/>
      <c r="E186" s="6"/>
      <c r="F186" s="6"/>
      <c r="G186" s="6"/>
      <c r="H186" s="6"/>
      <c r="I186" s="6"/>
      <c r="J186" s="6"/>
      <c r="K186" s="6"/>
      <c r="L186" s="6"/>
      <c r="M186" s="6"/>
      <c r="N186" s="6"/>
      <c r="O186" s="6"/>
      <c r="P186" s="6"/>
      <c r="Q186" s="6"/>
      <c r="R186" s="6"/>
      <c r="S186" s="6"/>
      <c r="T186" s="6"/>
      <c r="U186" s="6"/>
      <c r="V186" s="6"/>
      <c r="W186" s="6"/>
      <c r="X186" s="6"/>
      <c r="Y186" s="22"/>
    </row>
    <row r="187" spans="2:29" x14ac:dyDescent="0.25">
      <c r="B187" s="21"/>
      <c r="C187" s="6"/>
      <c r="D187" s="102" t="s">
        <v>2532</v>
      </c>
      <c r="E187" s="6"/>
      <c r="F187" s="6"/>
      <c r="G187" s="6"/>
      <c r="H187" s="6"/>
      <c r="I187" s="6"/>
      <c r="J187" s="6"/>
      <c r="K187" s="6"/>
      <c r="L187" s="6"/>
      <c r="M187" s="6"/>
      <c r="N187" s="6"/>
      <c r="O187" s="6"/>
      <c r="P187" s="6"/>
      <c r="Q187" s="6"/>
      <c r="R187" s="6"/>
      <c r="S187" s="6"/>
      <c r="T187" s="6"/>
      <c r="U187" s="6"/>
      <c r="V187" s="6"/>
      <c r="W187" s="6"/>
      <c r="X187" s="6"/>
      <c r="Y187" s="22"/>
    </row>
    <row r="188" spans="2:29" x14ac:dyDescent="0.25">
      <c r="B188" s="21"/>
      <c r="C188" s="6"/>
      <c r="D188" s="757"/>
      <c r="E188" s="758"/>
      <c r="F188" s="758"/>
      <c r="G188" s="758"/>
      <c r="H188" s="758"/>
      <c r="I188" s="758"/>
      <c r="J188" s="758"/>
      <c r="K188" s="758"/>
      <c r="L188" s="758"/>
      <c r="M188" s="758"/>
      <c r="N188" s="758"/>
      <c r="O188" s="758"/>
      <c r="P188" s="758"/>
      <c r="Q188" s="758"/>
      <c r="R188" s="758"/>
      <c r="S188" s="758"/>
      <c r="T188" s="758"/>
      <c r="U188" s="758"/>
      <c r="V188" s="758"/>
      <c r="W188" s="758"/>
      <c r="X188" s="759"/>
      <c r="Y188" s="22"/>
    </row>
    <row r="189" spans="2:29" x14ac:dyDescent="0.25">
      <c r="B189" s="21"/>
      <c r="C189" s="6"/>
      <c r="D189" s="760"/>
      <c r="E189" s="761"/>
      <c r="F189" s="761"/>
      <c r="G189" s="761"/>
      <c r="H189" s="761"/>
      <c r="I189" s="761"/>
      <c r="J189" s="761"/>
      <c r="K189" s="761"/>
      <c r="L189" s="761"/>
      <c r="M189" s="761"/>
      <c r="N189" s="761"/>
      <c r="O189" s="761"/>
      <c r="P189" s="761"/>
      <c r="Q189" s="761"/>
      <c r="R189" s="761"/>
      <c r="S189" s="761"/>
      <c r="T189" s="761"/>
      <c r="U189" s="761"/>
      <c r="V189" s="761"/>
      <c r="W189" s="761"/>
      <c r="X189" s="762"/>
      <c r="Y189" s="22"/>
    </row>
    <row r="190" spans="2:29" x14ac:dyDescent="0.25">
      <c r="B190" s="21"/>
      <c r="C190" s="6"/>
      <c r="D190" s="760"/>
      <c r="E190" s="761"/>
      <c r="F190" s="761"/>
      <c r="G190" s="761"/>
      <c r="H190" s="761"/>
      <c r="I190" s="761"/>
      <c r="J190" s="761"/>
      <c r="K190" s="761"/>
      <c r="L190" s="761"/>
      <c r="M190" s="761"/>
      <c r="N190" s="761"/>
      <c r="O190" s="761"/>
      <c r="P190" s="761"/>
      <c r="Q190" s="761"/>
      <c r="R190" s="761"/>
      <c r="S190" s="761"/>
      <c r="T190" s="761"/>
      <c r="U190" s="761"/>
      <c r="V190" s="761"/>
      <c r="W190" s="761"/>
      <c r="X190" s="762"/>
      <c r="Y190" s="22"/>
    </row>
    <row r="191" spans="2:29" x14ac:dyDescent="0.25">
      <c r="B191" s="21"/>
      <c r="C191" s="6"/>
      <c r="D191" s="760"/>
      <c r="E191" s="761"/>
      <c r="F191" s="761"/>
      <c r="G191" s="761"/>
      <c r="H191" s="761"/>
      <c r="I191" s="761"/>
      <c r="J191" s="761"/>
      <c r="K191" s="761"/>
      <c r="L191" s="761"/>
      <c r="M191" s="761"/>
      <c r="N191" s="761"/>
      <c r="O191" s="761"/>
      <c r="P191" s="761"/>
      <c r="Q191" s="761"/>
      <c r="R191" s="761"/>
      <c r="S191" s="761"/>
      <c r="T191" s="761"/>
      <c r="U191" s="761"/>
      <c r="V191" s="761"/>
      <c r="W191" s="761"/>
      <c r="X191" s="762"/>
      <c r="Y191" s="22"/>
    </row>
    <row r="192" spans="2:29" x14ac:dyDescent="0.25">
      <c r="B192" s="21"/>
      <c r="C192" s="6"/>
      <c r="D192" s="763"/>
      <c r="E192" s="764"/>
      <c r="F192" s="764"/>
      <c r="G192" s="764"/>
      <c r="H192" s="764"/>
      <c r="I192" s="764"/>
      <c r="J192" s="764"/>
      <c r="K192" s="764"/>
      <c r="L192" s="764"/>
      <c r="M192" s="764"/>
      <c r="N192" s="764"/>
      <c r="O192" s="764"/>
      <c r="P192" s="764"/>
      <c r="Q192" s="764"/>
      <c r="R192" s="764"/>
      <c r="S192" s="764"/>
      <c r="T192" s="764"/>
      <c r="U192" s="764"/>
      <c r="V192" s="764"/>
      <c r="W192" s="764"/>
      <c r="X192" s="765"/>
      <c r="Y192" s="22"/>
    </row>
    <row r="193" spans="2:25" x14ac:dyDescent="0.25">
      <c r="B193" s="21"/>
      <c r="C193" s="6"/>
      <c r="D193" s="6"/>
      <c r="E193" s="6"/>
      <c r="F193" s="6"/>
      <c r="G193" s="6"/>
      <c r="H193" s="6"/>
      <c r="I193" s="6"/>
      <c r="J193" s="6"/>
      <c r="K193" s="6"/>
      <c r="L193" s="6"/>
      <c r="M193" s="6"/>
      <c r="N193" s="6"/>
      <c r="O193" s="6"/>
      <c r="P193" s="6"/>
      <c r="Q193" s="6"/>
      <c r="R193" s="6"/>
      <c r="S193" s="6"/>
      <c r="T193" s="6"/>
      <c r="U193" s="6"/>
      <c r="V193" s="6"/>
      <c r="W193" s="6"/>
      <c r="X193" s="6"/>
      <c r="Y193" s="22"/>
    </row>
    <row r="194" spans="2:25" ht="15.75" thickBot="1" x14ac:dyDescent="0.3">
      <c r="B194" s="24"/>
      <c r="C194" s="25"/>
      <c r="D194" s="25"/>
      <c r="E194" s="25"/>
      <c r="F194" s="25"/>
      <c r="G194" s="25"/>
      <c r="H194" s="25"/>
      <c r="I194" s="25"/>
      <c r="J194" s="25"/>
      <c r="K194" s="25"/>
      <c r="L194" s="25"/>
      <c r="M194" s="25"/>
      <c r="N194" s="25"/>
      <c r="O194" s="25"/>
      <c r="P194" s="25"/>
      <c r="Q194" s="25"/>
      <c r="R194" s="25"/>
      <c r="S194" s="25"/>
      <c r="T194" s="25"/>
      <c r="U194" s="25"/>
      <c r="V194" s="25"/>
      <c r="W194" s="25"/>
      <c r="X194" s="25"/>
      <c r="Y194" s="26"/>
    </row>
    <row r="197" spans="2:25" ht="15.75" thickBot="1" x14ac:dyDescent="0.3"/>
    <row r="198" spans="2:25" x14ac:dyDescent="0.25">
      <c r="B198" s="18"/>
      <c r="C198" s="19"/>
      <c r="D198" s="19"/>
      <c r="E198" s="19"/>
      <c r="F198" s="19"/>
      <c r="G198" s="19"/>
      <c r="H198" s="19"/>
      <c r="I198" s="19"/>
      <c r="J198" s="19"/>
      <c r="K198" s="19"/>
      <c r="L198" s="19"/>
      <c r="M198" s="19"/>
      <c r="N198" s="19"/>
      <c r="O198" s="19"/>
      <c r="P198" s="19"/>
      <c r="Q198" s="19"/>
      <c r="R198" s="19"/>
      <c r="S198" s="19"/>
      <c r="T198" s="19"/>
      <c r="U198" s="19"/>
      <c r="V198" s="19"/>
      <c r="W198" s="19"/>
      <c r="X198" s="19"/>
      <c r="Y198" s="20"/>
    </row>
    <row r="199" spans="2:25" x14ac:dyDescent="0.25">
      <c r="B199" s="21"/>
      <c r="C199" s="6"/>
      <c r="D199" s="6"/>
      <c r="E199" s="6"/>
      <c r="F199" s="6"/>
      <c r="G199" s="6"/>
      <c r="H199" s="6"/>
      <c r="I199" s="6"/>
      <c r="J199" s="6"/>
      <c r="K199" s="6"/>
      <c r="L199" s="6"/>
      <c r="M199" s="6"/>
      <c r="N199" s="6"/>
      <c r="O199" s="6"/>
      <c r="P199" s="6"/>
      <c r="Q199" s="6"/>
      <c r="R199" s="6"/>
      <c r="S199" s="6"/>
      <c r="T199" s="6"/>
      <c r="U199" s="6"/>
      <c r="V199" s="6"/>
      <c r="W199" s="6"/>
      <c r="X199" s="6"/>
      <c r="Y199" s="22"/>
    </row>
    <row r="200" spans="2:25" x14ac:dyDescent="0.25">
      <c r="B200" s="21"/>
      <c r="C200" s="23" t="s">
        <v>2572</v>
      </c>
      <c r="D200" s="6"/>
      <c r="E200" s="6"/>
      <c r="F200" s="6"/>
      <c r="G200" s="6"/>
      <c r="H200" s="6"/>
      <c r="I200" s="6"/>
      <c r="J200" s="6"/>
      <c r="K200" s="6"/>
      <c r="L200" s="6"/>
      <c r="M200" s="6"/>
      <c r="N200" s="6"/>
      <c r="O200" s="6"/>
      <c r="P200" s="6"/>
      <c r="Q200" s="6"/>
      <c r="R200" s="6"/>
      <c r="S200" s="6"/>
      <c r="T200" s="6"/>
      <c r="U200" s="6"/>
      <c r="V200" s="6"/>
      <c r="W200" s="6"/>
      <c r="X200" s="6"/>
      <c r="Y200" s="22"/>
    </row>
    <row r="201" spans="2:25" x14ac:dyDescent="0.25">
      <c r="B201" s="21"/>
      <c r="C201" s="6"/>
      <c r="D201" s="6"/>
      <c r="E201" s="6"/>
      <c r="F201" s="6"/>
      <c r="G201" s="6"/>
      <c r="H201" s="6"/>
      <c r="I201" s="6"/>
      <c r="J201" s="6"/>
      <c r="K201" s="6"/>
      <c r="L201" s="692" t="s">
        <v>345</v>
      </c>
      <c r="M201" s="692"/>
      <c r="N201" s="6"/>
      <c r="O201" s="6"/>
      <c r="P201" s="6"/>
      <c r="Q201" s="6"/>
      <c r="R201" s="6"/>
      <c r="S201" s="6"/>
      <c r="T201" s="6"/>
      <c r="U201" s="6"/>
      <c r="V201" s="6"/>
      <c r="W201" s="6"/>
      <c r="X201" s="6"/>
      <c r="Y201" s="22"/>
    </row>
    <row r="202" spans="2:25" x14ac:dyDescent="0.25">
      <c r="B202" s="21"/>
      <c r="C202" s="398" t="s">
        <v>2447</v>
      </c>
      <c r="D202" s="6"/>
      <c r="E202" s="6"/>
      <c r="F202" s="6"/>
      <c r="G202" s="6"/>
      <c r="H202" s="6"/>
      <c r="I202" s="6"/>
      <c r="J202" s="6"/>
      <c r="K202" s="6"/>
      <c r="L202" s="6"/>
      <c r="M202" s="6"/>
      <c r="N202" s="6"/>
      <c r="O202" s="6"/>
      <c r="P202" s="6"/>
      <c r="Q202" s="6"/>
      <c r="R202" s="6"/>
      <c r="S202" s="6"/>
      <c r="T202" s="6"/>
      <c r="U202" s="6"/>
      <c r="V202" s="6"/>
      <c r="W202" s="6"/>
      <c r="X202" s="6"/>
      <c r="Y202" s="22"/>
    </row>
    <row r="203" spans="2:25" x14ac:dyDescent="0.25">
      <c r="B203" s="21"/>
      <c r="C203" s="6"/>
      <c r="D203" s="51" t="s">
        <v>2413</v>
      </c>
      <c r="E203" s="51"/>
      <c r="F203" s="51"/>
      <c r="G203" s="51"/>
      <c r="H203" s="51"/>
      <c r="I203" s="51"/>
      <c r="J203" s="51"/>
      <c r="K203" s="47"/>
      <c r="L203" s="878">
        <f>Fertilisation!L339</f>
        <v>0</v>
      </c>
      <c r="M203" s="879"/>
      <c r="N203" s="6"/>
      <c r="O203" s="173"/>
      <c r="P203" s="6"/>
      <c r="Q203" s="6"/>
      <c r="R203" s="6"/>
      <c r="S203" s="6"/>
      <c r="T203" s="6"/>
      <c r="U203" s="6"/>
      <c r="V203" s="6"/>
      <c r="W203" s="6"/>
      <c r="X203" s="6"/>
      <c r="Y203" s="22"/>
    </row>
    <row r="204" spans="2:25" x14ac:dyDescent="0.25">
      <c r="B204" s="21"/>
      <c r="C204" s="6"/>
      <c r="D204" s="52" t="s">
        <v>347</v>
      </c>
      <c r="E204" s="52"/>
      <c r="F204" s="52"/>
      <c r="G204" s="52"/>
      <c r="H204" s="52"/>
      <c r="I204" s="52"/>
      <c r="J204" s="52"/>
      <c r="K204" s="48"/>
      <c r="L204" s="878">
        <f>Fertilisation!L340</f>
        <v>0</v>
      </c>
      <c r="M204" s="879"/>
      <c r="N204" s="6"/>
      <c r="O204" s="6"/>
      <c r="P204" s="6"/>
      <c r="Q204" s="6"/>
      <c r="R204" s="6"/>
      <c r="S204" s="6"/>
      <c r="T204" s="6"/>
      <c r="U204" s="6"/>
      <c r="V204" s="6"/>
      <c r="W204" s="6"/>
      <c r="X204" s="6"/>
      <c r="Y204" s="22"/>
    </row>
    <row r="205" spans="2:25" x14ac:dyDescent="0.25">
      <c r="B205" s="21"/>
      <c r="C205" s="6"/>
      <c r="D205" s="6"/>
      <c r="E205" s="6"/>
      <c r="F205" s="6"/>
      <c r="G205" s="6"/>
      <c r="H205" s="6"/>
      <c r="I205" s="6"/>
      <c r="J205" s="6"/>
      <c r="K205" s="6"/>
      <c r="L205" s="6"/>
      <c r="M205" s="6"/>
      <c r="N205" s="6"/>
      <c r="O205" s="6"/>
      <c r="P205" s="6"/>
      <c r="Q205" s="6"/>
      <c r="R205" s="6"/>
      <c r="S205" s="6"/>
      <c r="T205" s="6"/>
      <c r="U205" s="6"/>
      <c r="V205" s="6"/>
      <c r="W205" s="6"/>
      <c r="X205" s="6"/>
      <c r="Y205" s="22"/>
    </row>
    <row r="206" spans="2:25" x14ac:dyDescent="0.25">
      <c r="B206" s="21"/>
      <c r="C206" s="6"/>
      <c r="D206" s="6"/>
      <c r="E206" s="6"/>
      <c r="F206" s="6"/>
      <c r="G206" s="6"/>
      <c r="H206" s="6"/>
      <c r="I206" s="6"/>
      <c r="J206" s="6"/>
      <c r="K206" s="6"/>
      <c r="L206" s="6"/>
      <c r="M206" s="6"/>
      <c r="N206" s="6"/>
      <c r="O206" s="6"/>
      <c r="P206" s="6"/>
      <c r="Q206" s="6"/>
      <c r="R206" s="6"/>
      <c r="S206" s="6"/>
      <c r="T206" s="6"/>
      <c r="U206" s="6"/>
      <c r="V206" s="6"/>
      <c r="W206" s="6"/>
      <c r="X206" s="6"/>
      <c r="Y206" s="22"/>
    </row>
    <row r="207" spans="2:25" x14ac:dyDescent="0.25">
      <c r="B207" s="21"/>
      <c r="C207" s="46"/>
      <c r="D207" s="6"/>
      <c r="E207" s="6"/>
      <c r="F207" s="6"/>
      <c r="G207" s="6"/>
      <c r="H207" s="6"/>
      <c r="I207" s="6"/>
      <c r="J207" s="6"/>
      <c r="K207" s="6"/>
      <c r="L207" s="6"/>
      <c r="M207" s="6"/>
      <c r="N207" s="6"/>
      <c r="O207" s="6"/>
      <c r="P207" s="6"/>
      <c r="Q207" s="6"/>
      <c r="R207" s="6"/>
      <c r="S207" s="6"/>
      <c r="T207" s="6"/>
      <c r="U207" s="6"/>
      <c r="V207" s="6"/>
      <c r="W207" s="6"/>
      <c r="X207" s="6"/>
      <c r="Y207" s="22"/>
    </row>
    <row r="208" spans="2:25" x14ac:dyDescent="0.25">
      <c r="B208" s="21"/>
      <c r="C208" s="6"/>
      <c r="D208" s="6"/>
      <c r="E208" s="6"/>
      <c r="F208" s="6"/>
      <c r="G208" s="6"/>
      <c r="H208" s="6"/>
      <c r="I208" s="6"/>
      <c r="J208" s="6"/>
      <c r="K208" s="6"/>
      <c r="L208" s="6"/>
      <c r="M208" s="6"/>
      <c r="N208" s="741" t="s">
        <v>245</v>
      </c>
      <c r="O208" s="741"/>
      <c r="P208" s="6"/>
      <c r="Q208" s="6"/>
      <c r="R208" s="6"/>
      <c r="S208" s="6"/>
      <c r="T208" s="6"/>
      <c r="U208" s="6"/>
      <c r="V208" s="6"/>
      <c r="W208" s="6"/>
      <c r="X208" s="6"/>
      <c r="Y208" s="22"/>
    </row>
    <row r="209" spans="2:25" x14ac:dyDescent="0.25">
      <c r="B209" s="21"/>
      <c r="C209" s="6"/>
      <c r="D209" s="86" t="s">
        <v>2414</v>
      </c>
      <c r="E209" s="86"/>
      <c r="F209" s="86"/>
      <c r="G209" s="86"/>
      <c r="H209" s="86"/>
      <c r="I209" s="86"/>
      <c r="J209" s="86"/>
      <c r="K209" s="119"/>
      <c r="L209" s="878">
        <f>Surfaces!O194</f>
        <v>0</v>
      </c>
      <c r="M209" s="879"/>
      <c r="N209" s="117"/>
      <c r="O209" s="117"/>
      <c r="P209" s="6"/>
      <c r="Q209" s="6"/>
      <c r="R209" s="6"/>
      <c r="S209" s="6"/>
      <c r="T209" s="6"/>
      <c r="U209" s="6"/>
      <c r="V209" s="6"/>
      <c r="W209" s="6"/>
      <c r="X209" s="6"/>
      <c r="Y209" s="22"/>
    </row>
    <row r="210" spans="2:25" x14ac:dyDescent="0.25">
      <c r="B210" s="21"/>
      <c r="C210" s="6"/>
      <c r="D210" s="87" t="s">
        <v>2378</v>
      </c>
      <c r="E210" s="87"/>
      <c r="F210" s="87"/>
      <c r="G210" s="87"/>
      <c r="H210" s="87"/>
      <c r="I210" s="87"/>
      <c r="J210" s="87"/>
      <c r="K210" s="120"/>
      <c r="L210" s="874">
        <f>Fertilisation!L345</f>
        <v>0</v>
      </c>
      <c r="M210" s="875"/>
      <c r="N210" s="976">
        <f>Fertilisation!N345</f>
        <v>0</v>
      </c>
      <c r="O210" s="998"/>
      <c r="P210" s="6"/>
      <c r="Q210" s="6"/>
      <c r="R210" s="6"/>
      <c r="S210" s="6"/>
      <c r="T210" s="6"/>
      <c r="U210" s="6"/>
      <c r="V210" s="6"/>
      <c r="W210" s="6"/>
      <c r="X210" s="6"/>
      <c r="Y210" s="22"/>
    </row>
    <row r="211" spans="2:25" x14ac:dyDescent="0.25">
      <c r="B211" s="21"/>
      <c r="C211" s="6"/>
      <c r="D211" s="87" t="s">
        <v>2379</v>
      </c>
      <c r="E211" s="87"/>
      <c r="F211" s="87"/>
      <c r="G211" s="87"/>
      <c r="H211" s="87"/>
      <c r="I211" s="87"/>
      <c r="J211" s="87"/>
      <c r="K211" s="120"/>
      <c r="L211" s="874">
        <f>Fertilisation!L346</f>
        <v>0</v>
      </c>
      <c r="M211" s="875"/>
      <c r="N211" s="976">
        <f>Fertilisation!N346</f>
        <v>0</v>
      </c>
      <c r="O211" s="998"/>
      <c r="P211" s="6"/>
      <c r="Q211" s="6"/>
      <c r="R211" s="6"/>
      <c r="S211" s="6"/>
      <c r="T211" s="6"/>
      <c r="U211" s="6"/>
      <c r="V211" s="6"/>
      <c r="W211" s="6"/>
      <c r="X211" s="6"/>
      <c r="Y211" s="22"/>
    </row>
    <row r="212" spans="2:25" x14ac:dyDescent="0.25">
      <c r="B212" s="21"/>
      <c r="C212" s="6"/>
      <c r="D212" s="6"/>
      <c r="E212" s="6"/>
      <c r="F212" s="6"/>
      <c r="G212" s="6"/>
      <c r="H212" s="6"/>
      <c r="I212" s="6"/>
      <c r="J212" s="6"/>
      <c r="K212" s="6"/>
      <c r="L212" s="6"/>
      <c r="M212" s="6"/>
      <c r="N212" s="6"/>
      <c r="O212" s="6"/>
      <c r="P212" s="6"/>
      <c r="Q212" s="6"/>
      <c r="R212" s="6"/>
      <c r="S212" s="6"/>
      <c r="T212" s="6"/>
      <c r="U212" s="6"/>
      <c r="V212" s="6"/>
      <c r="W212" s="1012" t="s">
        <v>723</v>
      </c>
      <c r="X212" s="1012"/>
      <c r="Y212" s="22"/>
    </row>
    <row r="213" spans="2:25" x14ac:dyDescent="0.25">
      <c r="B213" s="21"/>
      <c r="C213" s="6"/>
      <c r="D213" s="205" t="s">
        <v>616</v>
      </c>
      <c r="E213" s="43"/>
      <c r="F213" s="43"/>
      <c r="G213" s="43"/>
      <c r="H213" s="43"/>
      <c r="I213" s="43"/>
      <c r="J213" s="43"/>
      <c r="K213" s="43"/>
      <c r="L213" s="43"/>
      <c r="M213" s="133"/>
      <c r="N213" s="880">
        <f>IF(cIrriguante="Non",0,IF(cSAU=0,0,(SUM(N210:O211)*L209/Surfaces!O24)))</f>
        <v>0</v>
      </c>
      <c r="O213" s="881"/>
      <c r="P213" s="6"/>
      <c r="Q213" s="6"/>
      <c r="R213" s="6"/>
      <c r="S213" s="6"/>
      <c r="T213" s="6"/>
      <c r="U213" s="6"/>
      <c r="V213" s="6"/>
      <c r="W213" s="771">
        <f>IF(cSAU=0,7,7*L209/cSAU)</f>
        <v>0</v>
      </c>
      <c r="X213" s="772"/>
      <c r="Y213" s="22"/>
    </row>
    <row r="214" spans="2:25" x14ac:dyDescent="0.25">
      <c r="B214" s="21"/>
      <c r="C214" s="6"/>
      <c r="D214" s="6"/>
      <c r="E214" s="6"/>
      <c r="F214" s="6"/>
      <c r="G214" s="6"/>
      <c r="H214" s="6"/>
      <c r="I214" s="6"/>
      <c r="J214" s="6"/>
      <c r="K214" s="6"/>
      <c r="L214" s="6"/>
      <c r="M214" s="6"/>
      <c r="N214" s="6"/>
      <c r="O214" s="6"/>
      <c r="P214" s="6"/>
      <c r="Q214" s="6"/>
      <c r="R214" s="6"/>
      <c r="S214" s="6"/>
      <c r="T214" s="6"/>
      <c r="U214" s="6"/>
      <c r="V214" s="6"/>
      <c r="W214" s="6"/>
      <c r="X214" s="6"/>
      <c r="Y214" s="22"/>
    </row>
    <row r="215" spans="2:25" x14ac:dyDescent="0.25">
      <c r="B215" s="21"/>
      <c r="C215" s="6"/>
      <c r="D215" s="6"/>
      <c r="E215" s="6"/>
      <c r="F215" s="6"/>
      <c r="G215" s="6"/>
      <c r="H215" s="6"/>
      <c r="I215" s="6"/>
      <c r="J215" s="6"/>
      <c r="K215" s="6"/>
      <c r="L215" s="6"/>
      <c r="M215" s="6"/>
      <c r="N215" s="6"/>
      <c r="O215" s="6"/>
      <c r="P215" s="6"/>
      <c r="Q215" s="6"/>
      <c r="R215" s="6"/>
      <c r="S215" s="6"/>
      <c r="T215" s="6"/>
      <c r="U215" s="6"/>
      <c r="V215" s="6"/>
      <c r="W215" s="6"/>
      <c r="X215" s="6"/>
      <c r="Y215" s="22"/>
    </row>
    <row r="216" spans="2:25" x14ac:dyDescent="0.25">
      <c r="B216" s="21"/>
      <c r="C216" s="6"/>
      <c r="D216" s="102" t="s">
        <v>2532</v>
      </c>
      <c r="E216" s="6"/>
      <c r="F216" s="6"/>
      <c r="G216" s="6"/>
      <c r="H216" s="6"/>
      <c r="I216" s="6"/>
      <c r="J216" s="6"/>
      <c r="K216" s="6"/>
      <c r="L216" s="6"/>
      <c r="M216" s="6"/>
      <c r="N216" s="6"/>
      <c r="O216" s="6"/>
      <c r="P216" s="6"/>
      <c r="Q216" s="6"/>
      <c r="R216" s="6"/>
      <c r="S216" s="6"/>
      <c r="T216" s="6"/>
      <c r="U216" s="6"/>
      <c r="V216" s="6"/>
      <c r="W216" s="6"/>
      <c r="X216" s="6"/>
      <c r="Y216" s="22"/>
    </row>
    <row r="217" spans="2:25" x14ac:dyDescent="0.25">
      <c r="B217" s="21"/>
      <c r="C217" s="6"/>
      <c r="D217" s="757"/>
      <c r="E217" s="758"/>
      <c r="F217" s="758"/>
      <c r="G217" s="758"/>
      <c r="H217" s="758"/>
      <c r="I217" s="758"/>
      <c r="J217" s="758"/>
      <c r="K217" s="758"/>
      <c r="L217" s="758"/>
      <c r="M217" s="758"/>
      <c r="N217" s="758"/>
      <c r="O217" s="758"/>
      <c r="P217" s="758"/>
      <c r="Q217" s="758"/>
      <c r="R217" s="758"/>
      <c r="S217" s="758"/>
      <c r="T217" s="758"/>
      <c r="U217" s="758"/>
      <c r="V217" s="758"/>
      <c r="W217" s="758"/>
      <c r="X217" s="759"/>
      <c r="Y217" s="22"/>
    </row>
    <row r="218" spans="2:25" x14ac:dyDescent="0.25">
      <c r="B218" s="21"/>
      <c r="C218" s="6"/>
      <c r="D218" s="760"/>
      <c r="E218" s="761"/>
      <c r="F218" s="761"/>
      <c r="G218" s="761"/>
      <c r="H218" s="761"/>
      <c r="I218" s="761"/>
      <c r="J218" s="761"/>
      <c r="K218" s="761"/>
      <c r="L218" s="761"/>
      <c r="M218" s="761"/>
      <c r="N218" s="761"/>
      <c r="O218" s="761"/>
      <c r="P218" s="761"/>
      <c r="Q218" s="761"/>
      <c r="R218" s="761"/>
      <c r="S218" s="761"/>
      <c r="T218" s="761"/>
      <c r="U218" s="761"/>
      <c r="V218" s="761"/>
      <c r="W218" s="761"/>
      <c r="X218" s="762"/>
      <c r="Y218" s="22"/>
    </row>
    <row r="219" spans="2:25" x14ac:dyDescent="0.25">
      <c r="B219" s="21"/>
      <c r="C219" s="6"/>
      <c r="D219" s="760"/>
      <c r="E219" s="761"/>
      <c r="F219" s="761"/>
      <c r="G219" s="761"/>
      <c r="H219" s="761"/>
      <c r="I219" s="761"/>
      <c r="J219" s="761"/>
      <c r="K219" s="761"/>
      <c r="L219" s="761"/>
      <c r="M219" s="761"/>
      <c r="N219" s="761"/>
      <c r="O219" s="761"/>
      <c r="P219" s="761"/>
      <c r="Q219" s="761"/>
      <c r="R219" s="761"/>
      <c r="S219" s="761"/>
      <c r="T219" s="761"/>
      <c r="U219" s="761"/>
      <c r="V219" s="761"/>
      <c r="W219" s="761"/>
      <c r="X219" s="762"/>
      <c r="Y219" s="22"/>
    </row>
    <row r="220" spans="2:25" x14ac:dyDescent="0.25">
      <c r="B220" s="21"/>
      <c r="C220" s="6"/>
      <c r="D220" s="760"/>
      <c r="E220" s="761"/>
      <c r="F220" s="761"/>
      <c r="G220" s="761"/>
      <c r="H220" s="761"/>
      <c r="I220" s="761"/>
      <c r="J220" s="761"/>
      <c r="K220" s="761"/>
      <c r="L220" s="761"/>
      <c r="M220" s="761"/>
      <c r="N220" s="761"/>
      <c r="O220" s="761"/>
      <c r="P220" s="761"/>
      <c r="Q220" s="761"/>
      <c r="R220" s="761"/>
      <c r="S220" s="761"/>
      <c r="T220" s="761"/>
      <c r="U220" s="761"/>
      <c r="V220" s="761"/>
      <c r="W220" s="761"/>
      <c r="X220" s="762"/>
      <c r="Y220" s="22"/>
    </row>
    <row r="221" spans="2:25" x14ac:dyDescent="0.25">
      <c r="B221" s="21"/>
      <c r="C221" s="6"/>
      <c r="D221" s="763"/>
      <c r="E221" s="764"/>
      <c r="F221" s="764"/>
      <c r="G221" s="764"/>
      <c r="H221" s="764"/>
      <c r="I221" s="764"/>
      <c r="J221" s="764"/>
      <c r="K221" s="764"/>
      <c r="L221" s="764"/>
      <c r="M221" s="764"/>
      <c r="N221" s="764"/>
      <c r="O221" s="764"/>
      <c r="P221" s="764"/>
      <c r="Q221" s="764"/>
      <c r="R221" s="764"/>
      <c r="S221" s="764"/>
      <c r="T221" s="764"/>
      <c r="U221" s="764"/>
      <c r="V221" s="764"/>
      <c r="W221" s="764"/>
      <c r="X221" s="765"/>
      <c r="Y221" s="22"/>
    </row>
    <row r="222" spans="2:25" x14ac:dyDescent="0.25">
      <c r="B222" s="21"/>
      <c r="C222" s="6"/>
      <c r="D222" s="6"/>
      <c r="E222" s="6"/>
      <c r="F222" s="6"/>
      <c r="G222" s="6"/>
      <c r="H222" s="6"/>
      <c r="I222" s="6"/>
      <c r="J222" s="6"/>
      <c r="K222" s="6"/>
      <c r="L222" s="6"/>
      <c r="M222" s="6"/>
      <c r="N222" s="6"/>
      <c r="O222" s="6"/>
      <c r="P222" s="6"/>
      <c r="Q222" s="6"/>
      <c r="R222" s="6"/>
      <c r="S222" s="6"/>
      <c r="T222" s="6"/>
      <c r="U222" s="6"/>
      <c r="V222" s="6"/>
      <c r="W222" s="6"/>
      <c r="X222" s="6"/>
      <c r="Y222" s="22"/>
    </row>
    <row r="223" spans="2:25" ht="15.75" thickBot="1" x14ac:dyDescent="0.3">
      <c r="B223" s="24"/>
      <c r="C223" s="25"/>
      <c r="D223" s="25"/>
      <c r="E223" s="25"/>
      <c r="F223" s="25"/>
      <c r="G223" s="25"/>
      <c r="H223" s="25"/>
      <c r="I223" s="25"/>
      <c r="J223" s="25"/>
      <c r="K223" s="25"/>
      <c r="L223" s="25"/>
      <c r="M223" s="25"/>
      <c r="N223" s="25"/>
      <c r="O223" s="25"/>
      <c r="P223" s="25"/>
      <c r="Q223" s="25"/>
      <c r="R223" s="25"/>
      <c r="S223" s="25"/>
      <c r="T223" s="25"/>
      <c r="U223" s="25"/>
      <c r="V223" s="25"/>
      <c r="W223" s="25"/>
      <c r="X223" s="25"/>
      <c r="Y223" s="26"/>
    </row>
    <row r="226" spans="2:25" ht="15.75" thickBot="1" x14ac:dyDescent="0.3"/>
    <row r="227" spans="2:25" x14ac:dyDescent="0.25">
      <c r="B227" s="18"/>
      <c r="C227" s="19"/>
      <c r="D227" s="19"/>
      <c r="E227" s="19"/>
      <c r="F227" s="19"/>
      <c r="G227" s="19"/>
      <c r="H227" s="19"/>
      <c r="I227" s="19"/>
      <c r="J227" s="19"/>
      <c r="K227" s="19"/>
      <c r="L227" s="19"/>
      <c r="M227" s="19"/>
      <c r="N227" s="19"/>
      <c r="O227" s="19"/>
      <c r="P227" s="19"/>
      <c r="Q227" s="19"/>
      <c r="R227" s="19"/>
      <c r="S227" s="19"/>
      <c r="T227" s="19"/>
      <c r="U227" s="19"/>
      <c r="V227" s="19"/>
      <c r="W227" s="19"/>
      <c r="X227" s="19"/>
      <c r="Y227" s="20"/>
    </row>
    <row r="228" spans="2:25" x14ac:dyDescent="0.25">
      <c r="B228" s="21"/>
      <c r="C228" s="6"/>
      <c r="D228" s="6"/>
      <c r="E228" s="6"/>
      <c r="F228" s="6"/>
      <c r="G228" s="6"/>
      <c r="H228" s="6"/>
      <c r="I228" s="6"/>
      <c r="J228" s="6"/>
      <c r="K228" s="6"/>
      <c r="L228" s="6"/>
      <c r="M228" s="6"/>
      <c r="N228" s="6"/>
      <c r="O228" s="6"/>
      <c r="P228" s="6"/>
      <c r="Q228" s="6"/>
      <c r="R228" s="6"/>
      <c r="S228" s="6"/>
      <c r="T228" s="6"/>
      <c r="U228" s="6"/>
      <c r="V228" s="6"/>
      <c r="W228" s="6"/>
      <c r="X228" s="6"/>
      <c r="Y228" s="22"/>
    </row>
    <row r="229" spans="2:25" x14ac:dyDescent="0.25">
      <c r="B229" s="21"/>
      <c r="C229" s="173" t="s">
        <v>2620</v>
      </c>
      <c r="D229" s="6"/>
      <c r="E229" s="6"/>
      <c r="F229" s="6"/>
      <c r="G229" s="6"/>
      <c r="H229" s="6"/>
      <c r="I229" s="6"/>
      <c r="J229" s="6"/>
      <c r="K229" s="6"/>
      <c r="L229" s="6"/>
      <c r="M229" s="6"/>
      <c r="N229" s="6"/>
      <c r="O229" s="6"/>
      <c r="P229" s="6"/>
      <c r="Q229" s="6"/>
      <c r="R229" s="6"/>
      <c r="S229" s="6"/>
      <c r="T229" s="6"/>
      <c r="U229" s="6"/>
      <c r="V229" s="6"/>
      <c r="W229" s="6"/>
      <c r="X229" s="6"/>
      <c r="Y229" s="22"/>
    </row>
    <row r="230" spans="2:25" s="499" customFormat="1" x14ac:dyDescent="0.25">
      <c r="B230" s="21"/>
      <c r="C230" s="6"/>
      <c r="D230" s="6"/>
      <c r="E230" s="6"/>
      <c r="F230" s="6"/>
      <c r="G230" s="6"/>
      <c r="H230" s="6"/>
      <c r="I230" s="6"/>
      <c r="J230" s="6"/>
      <c r="K230" s="6"/>
      <c r="L230" s="6"/>
      <c r="M230" s="6"/>
      <c r="N230" s="6"/>
      <c r="O230" s="6"/>
      <c r="P230" s="6"/>
      <c r="Q230" s="6"/>
      <c r="R230" s="6"/>
      <c r="S230" s="6"/>
      <c r="T230" s="6"/>
      <c r="U230" s="6"/>
      <c r="V230" s="6"/>
      <c r="W230" s="6"/>
      <c r="X230" s="6"/>
      <c r="Y230" s="22"/>
    </row>
    <row r="231" spans="2:25" x14ac:dyDescent="0.25">
      <c r="B231" s="21"/>
      <c r="C231" s="46" t="s">
        <v>386</v>
      </c>
      <c r="D231" s="6"/>
      <c r="E231" s="6"/>
      <c r="F231" s="6"/>
      <c r="G231" s="6"/>
      <c r="H231" s="6"/>
      <c r="I231" s="6"/>
      <c r="J231" s="6"/>
      <c r="K231" s="6"/>
      <c r="L231" s="6"/>
      <c r="M231" s="134"/>
      <c r="N231" s="794"/>
      <c r="O231" s="795"/>
      <c r="P231" s="6"/>
      <c r="Q231" s="6"/>
      <c r="R231" s="6"/>
      <c r="S231" s="6"/>
      <c r="T231" s="6"/>
      <c r="U231" s="6"/>
      <c r="V231" s="6"/>
      <c r="W231" s="6"/>
      <c r="X231" s="6"/>
      <c r="Y231" s="22"/>
    </row>
    <row r="232" spans="2:25" x14ac:dyDescent="0.25">
      <c r="B232" s="21"/>
      <c r="C232" s="6"/>
      <c r="D232" s="6"/>
      <c r="E232" s="6"/>
      <c r="F232" s="6"/>
      <c r="G232" s="6"/>
      <c r="H232" s="6"/>
      <c r="I232" s="6"/>
      <c r="J232" s="6"/>
      <c r="K232" s="6"/>
      <c r="L232" s="6"/>
      <c r="M232" s="6"/>
      <c r="N232" s="6"/>
      <c r="O232" s="6"/>
      <c r="P232" s="6"/>
      <c r="Q232" s="6"/>
      <c r="R232" s="6"/>
      <c r="S232" s="6"/>
      <c r="T232" s="6"/>
      <c r="U232" s="6"/>
      <c r="V232" s="6"/>
      <c r="W232" s="6"/>
      <c r="X232" s="6"/>
      <c r="Y232" s="22"/>
    </row>
    <row r="233" spans="2:25" x14ac:dyDescent="0.25">
      <c r="B233" s="21"/>
      <c r="C233" s="6"/>
      <c r="F233" s="6"/>
      <c r="G233" s="6"/>
      <c r="H233" s="6"/>
      <c r="I233" s="6"/>
      <c r="J233" s="6"/>
      <c r="K233" s="6"/>
      <c r="L233" s="6"/>
      <c r="M233" s="6"/>
      <c r="N233" s="6"/>
      <c r="O233" s="6"/>
      <c r="P233" s="741" t="s">
        <v>245</v>
      </c>
      <c r="Q233" s="741"/>
      <c r="R233" s="6"/>
      <c r="S233" s="6"/>
      <c r="T233" s="6"/>
      <c r="U233" s="6"/>
      <c r="V233" s="6"/>
      <c r="W233" s="6"/>
      <c r="X233" s="6"/>
      <c r="Y233" s="22"/>
    </row>
    <row r="234" spans="2:25" x14ac:dyDescent="0.25">
      <c r="B234" s="21"/>
      <c r="F234" s="6"/>
      <c r="G234" s="6"/>
      <c r="H234" s="6"/>
      <c r="I234" s="6"/>
      <c r="J234" s="6"/>
      <c r="K234" s="6"/>
      <c r="L234" s="6"/>
      <c r="M234" s="6"/>
      <c r="N234" s="6"/>
      <c r="O234" s="6"/>
      <c r="P234" s="6"/>
      <c r="Q234" s="6"/>
      <c r="R234" s="6"/>
      <c r="S234" s="6"/>
      <c r="T234" s="6"/>
      <c r="U234" s="6"/>
      <c r="V234" s="6"/>
      <c r="Y234" s="22"/>
    </row>
    <row r="235" spans="2:25" s="499" customFormat="1" x14ac:dyDescent="0.25">
      <c r="B235" s="21"/>
      <c r="C235" s="86" t="s">
        <v>2545</v>
      </c>
      <c r="D235" s="86"/>
      <c r="E235" s="86"/>
      <c r="F235" s="86"/>
      <c r="G235" s="86"/>
      <c r="H235" s="86"/>
      <c r="I235" s="86"/>
      <c r="J235" s="86"/>
      <c r="K235" s="86"/>
      <c r="L235" s="86"/>
      <c r="M235" s="119"/>
      <c r="N235" s="874">
        <f>IFERROR(Surfaces!O136/cSAU,0)</f>
        <v>0</v>
      </c>
      <c r="O235" s="875"/>
      <c r="P235" s="6"/>
      <c r="Q235" s="6"/>
      <c r="R235" s="6"/>
      <c r="S235" s="6"/>
      <c r="T235" s="6"/>
      <c r="U235" s="6"/>
      <c r="V235" s="6"/>
      <c r="W235" s="1012" t="s">
        <v>723</v>
      </c>
      <c r="X235" s="1012"/>
      <c r="Y235" s="22"/>
    </row>
    <row r="236" spans="2:25" x14ac:dyDescent="0.25">
      <c r="B236" s="21"/>
      <c r="C236" s="181" t="s">
        <v>427</v>
      </c>
      <c r="D236" s="44"/>
      <c r="E236" s="44"/>
      <c r="F236" s="44"/>
      <c r="G236" s="44"/>
      <c r="H236" s="44"/>
      <c r="I236" s="44"/>
      <c r="J236" s="44"/>
      <c r="K236" s="44"/>
      <c r="L236" s="44"/>
      <c r="M236" s="44"/>
      <c r="N236" s="44"/>
      <c r="O236" s="49"/>
      <c r="P236" s="880">
        <f>IF(cIrriguante="Non",0,IF(N231="Oui",1*N235,0))</f>
        <v>0</v>
      </c>
      <c r="Q236" s="881"/>
      <c r="R236" s="6"/>
      <c r="S236" s="6"/>
      <c r="T236" s="6"/>
      <c r="U236" s="6"/>
      <c r="V236" s="6"/>
      <c r="W236" s="771">
        <f>IF(cSAU=0,1,1*N235)</f>
        <v>0</v>
      </c>
      <c r="X236" s="772"/>
      <c r="Y236" s="22"/>
    </row>
    <row r="237" spans="2:25" x14ac:dyDescent="0.25">
      <c r="B237" s="21"/>
      <c r="C237" s="6"/>
      <c r="D237" s="6"/>
      <c r="E237" s="6"/>
      <c r="F237" s="6"/>
      <c r="G237" s="6"/>
      <c r="H237" s="6"/>
      <c r="I237" s="6"/>
      <c r="J237" s="6"/>
      <c r="K237" s="6"/>
      <c r="L237" s="6"/>
      <c r="M237" s="6"/>
      <c r="N237" s="6"/>
      <c r="O237" s="6"/>
      <c r="P237" s="6"/>
      <c r="Q237" s="6"/>
      <c r="R237" s="6"/>
      <c r="S237" s="6"/>
      <c r="T237" s="6"/>
      <c r="U237" s="6"/>
      <c r="V237" s="6"/>
      <c r="W237" s="6"/>
      <c r="X237" s="6"/>
      <c r="Y237" s="22"/>
    </row>
    <row r="238" spans="2:25" x14ac:dyDescent="0.25">
      <c r="B238" s="21"/>
      <c r="C238" s="6"/>
      <c r="D238" s="6"/>
      <c r="E238" s="6"/>
      <c r="F238" s="6"/>
      <c r="G238" s="6"/>
      <c r="H238" s="6"/>
      <c r="I238" s="6"/>
      <c r="J238" s="6"/>
      <c r="K238" s="6"/>
      <c r="L238" s="6"/>
      <c r="M238" s="6"/>
      <c r="N238" s="6"/>
      <c r="O238" s="6"/>
      <c r="P238" s="6"/>
      <c r="Q238" s="6"/>
      <c r="R238" s="6"/>
      <c r="S238" s="6"/>
      <c r="T238" s="6"/>
      <c r="U238" s="6"/>
      <c r="V238" s="6"/>
      <c r="W238" s="6"/>
      <c r="X238" s="6"/>
      <c r="Y238" s="22"/>
    </row>
    <row r="239" spans="2:25" x14ac:dyDescent="0.25">
      <c r="B239" s="21"/>
      <c r="C239" s="6"/>
      <c r="D239" s="102" t="s">
        <v>2532</v>
      </c>
      <c r="E239" s="6"/>
      <c r="F239" s="6"/>
      <c r="G239" s="6"/>
      <c r="H239" s="6"/>
      <c r="I239" s="6"/>
      <c r="J239" s="6"/>
      <c r="K239" s="6"/>
      <c r="L239" s="6"/>
      <c r="M239" s="6"/>
      <c r="N239" s="6"/>
      <c r="O239" s="6"/>
      <c r="P239" s="6"/>
      <c r="Q239" s="6"/>
      <c r="R239" s="6"/>
      <c r="S239" s="6"/>
      <c r="T239" s="6"/>
      <c r="U239" s="6"/>
      <c r="V239" s="6"/>
      <c r="W239" s="6"/>
      <c r="X239" s="6"/>
      <c r="Y239" s="22"/>
    </row>
    <row r="240" spans="2:25" x14ac:dyDescent="0.25">
      <c r="B240" s="21"/>
      <c r="C240" s="6"/>
      <c r="D240" s="757"/>
      <c r="E240" s="758"/>
      <c r="F240" s="758"/>
      <c r="G240" s="758"/>
      <c r="H240" s="758"/>
      <c r="I240" s="758"/>
      <c r="J240" s="758"/>
      <c r="K240" s="758"/>
      <c r="L240" s="758"/>
      <c r="M240" s="758"/>
      <c r="N240" s="758"/>
      <c r="O240" s="758"/>
      <c r="P240" s="758"/>
      <c r="Q240" s="758"/>
      <c r="R240" s="758"/>
      <c r="S240" s="758"/>
      <c r="T240" s="758"/>
      <c r="U240" s="758"/>
      <c r="V240" s="758"/>
      <c r="W240" s="758"/>
      <c r="X240" s="759"/>
      <c r="Y240" s="22"/>
    </row>
    <row r="241" spans="2:25" x14ac:dyDescent="0.25">
      <c r="B241" s="21"/>
      <c r="C241" s="6"/>
      <c r="D241" s="760"/>
      <c r="E241" s="761"/>
      <c r="F241" s="761"/>
      <c r="G241" s="761"/>
      <c r="H241" s="761"/>
      <c r="I241" s="761"/>
      <c r="J241" s="761"/>
      <c r="K241" s="761"/>
      <c r="L241" s="761"/>
      <c r="M241" s="761"/>
      <c r="N241" s="761"/>
      <c r="O241" s="761"/>
      <c r="P241" s="761"/>
      <c r="Q241" s="761"/>
      <c r="R241" s="761"/>
      <c r="S241" s="761"/>
      <c r="T241" s="761"/>
      <c r="U241" s="761"/>
      <c r="V241" s="761"/>
      <c r="W241" s="761"/>
      <c r="X241" s="762"/>
      <c r="Y241" s="22"/>
    </row>
    <row r="242" spans="2:25" x14ac:dyDescent="0.25">
      <c r="B242" s="21"/>
      <c r="C242" s="6"/>
      <c r="D242" s="760"/>
      <c r="E242" s="761"/>
      <c r="F242" s="761"/>
      <c r="G242" s="761"/>
      <c r="H242" s="761"/>
      <c r="I242" s="761"/>
      <c r="J242" s="761"/>
      <c r="K242" s="761"/>
      <c r="L242" s="761"/>
      <c r="M242" s="761"/>
      <c r="N242" s="761"/>
      <c r="O242" s="761"/>
      <c r="P242" s="761"/>
      <c r="Q242" s="761"/>
      <c r="R242" s="761"/>
      <c r="S242" s="761"/>
      <c r="T242" s="761"/>
      <c r="U242" s="761"/>
      <c r="V242" s="761"/>
      <c r="W242" s="761"/>
      <c r="X242" s="762"/>
      <c r="Y242" s="22"/>
    </row>
    <row r="243" spans="2:25" x14ac:dyDescent="0.25">
      <c r="B243" s="21"/>
      <c r="C243" s="6"/>
      <c r="D243" s="760"/>
      <c r="E243" s="761"/>
      <c r="F243" s="761"/>
      <c r="G243" s="761"/>
      <c r="H243" s="761"/>
      <c r="I243" s="761"/>
      <c r="J243" s="761"/>
      <c r="K243" s="761"/>
      <c r="L243" s="761"/>
      <c r="M243" s="761"/>
      <c r="N243" s="761"/>
      <c r="O243" s="761"/>
      <c r="P243" s="761"/>
      <c r="Q243" s="761"/>
      <c r="R243" s="761"/>
      <c r="S243" s="761"/>
      <c r="T243" s="761"/>
      <c r="U243" s="761"/>
      <c r="V243" s="761"/>
      <c r="W243" s="761"/>
      <c r="X243" s="762"/>
      <c r="Y243" s="22"/>
    </row>
    <row r="244" spans="2:25" x14ac:dyDescent="0.25">
      <c r="B244" s="21"/>
      <c r="C244" s="6"/>
      <c r="D244" s="763"/>
      <c r="E244" s="764"/>
      <c r="F244" s="764"/>
      <c r="G244" s="764"/>
      <c r="H244" s="764"/>
      <c r="I244" s="764"/>
      <c r="J244" s="764"/>
      <c r="K244" s="764"/>
      <c r="L244" s="764"/>
      <c r="M244" s="764"/>
      <c r="N244" s="764"/>
      <c r="O244" s="764"/>
      <c r="P244" s="764"/>
      <c r="Q244" s="764"/>
      <c r="R244" s="764"/>
      <c r="S244" s="764"/>
      <c r="T244" s="764"/>
      <c r="U244" s="764"/>
      <c r="V244" s="764"/>
      <c r="W244" s="764"/>
      <c r="X244" s="765"/>
      <c r="Y244" s="22"/>
    </row>
    <row r="245" spans="2:25" x14ac:dyDescent="0.25">
      <c r="B245" s="21"/>
      <c r="C245" s="6"/>
      <c r="D245" s="6"/>
      <c r="E245" s="6"/>
      <c r="F245" s="6"/>
      <c r="G245" s="6"/>
      <c r="H245" s="6"/>
      <c r="I245" s="6"/>
      <c r="J245" s="6"/>
      <c r="K245" s="6"/>
      <c r="L245" s="6"/>
      <c r="M245" s="6"/>
      <c r="N245" s="6"/>
      <c r="O245" s="6"/>
      <c r="P245" s="6"/>
      <c r="Q245" s="6"/>
      <c r="R245" s="6"/>
      <c r="S245" s="6"/>
      <c r="T245" s="6"/>
      <c r="U245" s="6"/>
      <c r="V245" s="6"/>
      <c r="W245" s="6"/>
      <c r="X245" s="6"/>
      <c r="Y245" s="22"/>
    </row>
    <row r="246" spans="2:25" ht="15.75" thickBot="1" x14ac:dyDescent="0.3">
      <c r="B246" s="24"/>
      <c r="C246" s="25"/>
      <c r="D246" s="25"/>
      <c r="E246" s="25"/>
      <c r="F246" s="25"/>
      <c r="G246" s="25"/>
      <c r="H246" s="25"/>
      <c r="I246" s="25"/>
      <c r="J246" s="25"/>
      <c r="K246" s="25"/>
      <c r="L246" s="25"/>
      <c r="M246" s="25"/>
      <c r="N246" s="25"/>
      <c r="O246" s="25"/>
      <c r="P246" s="25"/>
      <c r="Q246" s="25"/>
      <c r="R246" s="25"/>
      <c r="S246" s="25"/>
      <c r="T246" s="25"/>
      <c r="U246" s="25"/>
      <c r="V246" s="25"/>
      <c r="W246" s="25"/>
      <c r="X246" s="25"/>
      <c r="Y246" s="26"/>
    </row>
    <row r="249" spans="2:25" ht="15.75" thickBot="1" x14ac:dyDescent="0.3"/>
    <row r="250" spans="2:25" x14ac:dyDescent="0.25">
      <c r="B250" s="10"/>
      <c r="C250" s="11"/>
      <c r="D250" s="11"/>
      <c r="E250" s="11"/>
      <c r="F250" s="11"/>
      <c r="G250" s="11"/>
      <c r="H250" s="11"/>
      <c r="I250" s="11"/>
      <c r="J250" s="11"/>
      <c r="K250" s="11"/>
      <c r="L250" s="11"/>
      <c r="M250" s="11"/>
      <c r="N250" s="11"/>
      <c r="O250" s="11"/>
      <c r="P250" s="11"/>
      <c r="Q250" s="11"/>
      <c r="R250" s="11"/>
      <c r="S250" s="11"/>
      <c r="T250" s="11"/>
      <c r="U250" s="11"/>
      <c r="V250" s="11"/>
      <c r="W250" s="11"/>
      <c r="X250" s="11"/>
      <c r="Y250" s="12"/>
    </row>
    <row r="251" spans="2:25" x14ac:dyDescent="0.25">
      <c r="B251" s="13"/>
      <c r="C251" s="6"/>
      <c r="D251" s="6"/>
      <c r="E251" s="6"/>
      <c r="F251" s="6"/>
      <c r="G251" s="6"/>
      <c r="H251" s="6"/>
      <c r="I251" s="6"/>
      <c r="J251" s="6"/>
      <c r="K251" s="6"/>
      <c r="L251" s="6"/>
      <c r="M251" s="6"/>
      <c r="N251" s="6"/>
      <c r="O251" s="6"/>
      <c r="P251" s="6"/>
      <c r="Q251" s="6"/>
      <c r="R251" s="6"/>
      <c r="S251" s="6"/>
      <c r="T251" s="6"/>
      <c r="U251" s="6"/>
      <c r="V251" s="6"/>
      <c r="W251" s="6"/>
      <c r="X251" s="6"/>
      <c r="Y251" s="14"/>
    </row>
    <row r="252" spans="2:25" x14ac:dyDescent="0.25">
      <c r="B252" s="13"/>
      <c r="C252" s="6"/>
      <c r="D252" s="6"/>
      <c r="E252" s="6"/>
      <c r="F252" s="6"/>
      <c r="G252" s="6"/>
      <c r="H252" s="6"/>
      <c r="I252" s="6"/>
      <c r="J252" s="6"/>
      <c r="K252" s="6"/>
      <c r="L252" s="6"/>
      <c r="M252" s="6"/>
      <c r="N252" s="6"/>
      <c r="O252" s="6"/>
      <c r="P252" s="6"/>
      <c r="Q252" s="6"/>
      <c r="R252" s="6"/>
      <c r="S252" s="6"/>
      <c r="T252" s="6"/>
      <c r="U252" s="6"/>
      <c r="V252" s="6"/>
      <c r="W252" s="1012" t="s">
        <v>723</v>
      </c>
      <c r="X252" s="1012"/>
      <c r="Y252" s="14"/>
    </row>
    <row r="253" spans="2:25" x14ac:dyDescent="0.25">
      <c r="B253" s="13"/>
      <c r="C253" s="86" t="s">
        <v>2361</v>
      </c>
      <c r="D253" s="44"/>
      <c r="E253" s="44"/>
      <c r="F253" s="44"/>
      <c r="G253" s="44"/>
      <c r="H253" s="44"/>
      <c r="I253" s="44"/>
      <c r="J253" s="44"/>
      <c r="K253" s="44"/>
      <c r="L253" s="44"/>
      <c r="M253" s="44"/>
      <c r="N253" s="44"/>
      <c r="O253" s="44"/>
      <c r="P253" s="44"/>
      <c r="Q253" s="49"/>
      <c r="R253" s="781">
        <f>M51+O92+D139+N161+L124+M184+N213+P236</f>
        <v>0</v>
      </c>
      <c r="S253" s="782"/>
      <c r="T253" s="6"/>
      <c r="U253" s="6"/>
      <c r="W253" s="771">
        <f>W51+W92+W124+W139+W161+W184+W213+W236</f>
        <v>27</v>
      </c>
      <c r="X253" s="772"/>
      <c r="Y253" s="14"/>
    </row>
    <row r="254" spans="2:25" x14ac:dyDescent="0.25">
      <c r="B254" s="13"/>
      <c r="C254" s="6"/>
      <c r="D254" s="6"/>
      <c r="E254" s="6"/>
      <c r="F254" s="6"/>
      <c r="G254" s="6"/>
      <c r="H254" s="6"/>
      <c r="I254" s="6"/>
      <c r="J254" s="6"/>
      <c r="K254" s="6"/>
      <c r="L254" s="6"/>
      <c r="M254" s="6"/>
      <c r="N254" s="6"/>
      <c r="O254" s="6"/>
      <c r="P254" s="6"/>
      <c r="Q254" s="6"/>
      <c r="R254" s="6"/>
      <c r="S254" s="6"/>
      <c r="T254" s="6"/>
      <c r="U254" s="6"/>
      <c r="V254" s="6"/>
      <c r="Y254" s="14"/>
    </row>
    <row r="255" spans="2:25" x14ac:dyDescent="0.25">
      <c r="B255" s="13"/>
      <c r="C255" s="6"/>
      <c r="D255" s="6"/>
      <c r="E255" s="6"/>
      <c r="F255" s="6"/>
      <c r="G255" s="6"/>
      <c r="H255" s="6"/>
      <c r="I255" s="6"/>
      <c r="J255" s="6"/>
      <c r="K255" s="6"/>
      <c r="L255" s="6"/>
      <c r="M255" s="6"/>
      <c r="N255" s="6"/>
      <c r="O255" s="6"/>
      <c r="P255" s="6"/>
      <c r="Q255" s="6"/>
      <c r="R255" s="6"/>
      <c r="S255" s="6"/>
      <c r="T255" s="6"/>
      <c r="U255" s="6"/>
      <c r="V255" s="6"/>
      <c r="W255" s="6"/>
      <c r="X255" s="6"/>
      <c r="Y255" s="14"/>
    </row>
    <row r="256" spans="2:25" x14ac:dyDescent="0.25">
      <c r="B256" s="13"/>
      <c r="C256" s="102" t="s">
        <v>2532</v>
      </c>
      <c r="D256" s="6"/>
      <c r="E256" s="6"/>
      <c r="F256" s="6"/>
      <c r="G256" s="6"/>
      <c r="H256" s="6"/>
      <c r="I256" s="6"/>
      <c r="J256" s="6"/>
      <c r="K256" s="6"/>
      <c r="L256" s="6"/>
      <c r="M256" s="6"/>
      <c r="N256" s="6"/>
      <c r="O256" s="6"/>
      <c r="P256" s="6"/>
      <c r="Q256" s="6"/>
      <c r="R256" s="6"/>
      <c r="S256" s="6"/>
      <c r="T256" s="6"/>
      <c r="U256" s="6"/>
      <c r="V256" s="6"/>
      <c r="W256" s="6"/>
      <c r="X256" s="6"/>
      <c r="Y256" s="14"/>
    </row>
    <row r="257" spans="2:25" x14ac:dyDescent="0.25">
      <c r="B257" s="13"/>
      <c r="C257" s="757"/>
      <c r="D257" s="758"/>
      <c r="E257" s="758"/>
      <c r="F257" s="758"/>
      <c r="G257" s="758"/>
      <c r="H257" s="758"/>
      <c r="I257" s="758"/>
      <c r="J257" s="758"/>
      <c r="K257" s="758"/>
      <c r="L257" s="758"/>
      <c r="M257" s="758"/>
      <c r="N257" s="758"/>
      <c r="O257" s="758"/>
      <c r="P257" s="758"/>
      <c r="Q257" s="758"/>
      <c r="R257" s="758"/>
      <c r="S257" s="758"/>
      <c r="T257" s="758"/>
      <c r="U257" s="758"/>
      <c r="V257" s="758"/>
      <c r="W257" s="759"/>
      <c r="X257" s="6"/>
      <c r="Y257" s="14"/>
    </row>
    <row r="258" spans="2:25" x14ac:dyDescent="0.25">
      <c r="B258" s="13"/>
      <c r="C258" s="760"/>
      <c r="D258" s="761"/>
      <c r="E258" s="761"/>
      <c r="F258" s="761"/>
      <c r="G258" s="761"/>
      <c r="H258" s="761"/>
      <c r="I258" s="761"/>
      <c r="J258" s="761"/>
      <c r="K258" s="761"/>
      <c r="L258" s="761"/>
      <c r="M258" s="761"/>
      <c r="N258" s="761"/>
      <c r="O258" s="761"/>
      <c r="P258" s="761"/>
      <c r="Q258" s="761"/>
      <c r="R258" s="761"/>
      <c r="S258" s="761"/>
      <c r="T258" s="761"/>
      <c r="U258" s="761"/>
      <c r="V258" s="761"/>
      <c r="W258" s="762"/>
      <c r="X258" s="6"/>
      <c r="Y258" s="14"/>
    </row>
    <row r="259" spans="2:25" x14ac:dyDescent="0.25">
      <c r="B259" s="13"/>
      <c r="C259" s="760"/>
      <c r="D259" s="761"/>
      <c r="E259" s="761"/>
      <c r="F259" s="761"/>
      <c r="G259" s="761"/>
      <c r="H259" s="761"/>
      <c r="I259" s="761"/>
      <c r="J259" s="761"/>
      <c r="K259" s="761"/>
      <c r="L259" s="761"/>
      <c r="M259" s="761"/>
      <c r="N259" s="761"/>
      <c r="O259" s="761"/>
      <c r="P259" s="761"/>
      <c r="Q259" s="761"/>
      <c r="R259" s="761"/>
      <c r="S259" s="761"/>
      <c r="T259" s="761"/>
      <c r="U259" s="761"/>
      <c r="V259" s="761"/>
      <c r="W259" s="762"/>
      <c r="X259" s="6"/>
      <c r="Y259" s="14"/>
    </row>
    <row r="260" spans="2:25" x14ac:dyDescent="0.25">
      <c r="B260" s="13"/>
      <c r="C260" s="760"/>
      <c r="D260" s="761"/>
      <c r="E260" s="761"/>
      <c r="F260" s="761"/>
      <c r="G260" s="761"/>
      <c r="H260" s="761"/>
      <c r="I260" s="761"/>
      <c r="J260" s="761"/>
      <c r="K260" s="761"/>
      <c r="L260" s="761"/>
      <c r="M260" s="761"/>
      <c r="N260" s="761"/>
      <c r="O260" s="761"/>
      <c r="P260" s="761"/>
      <c r="Q260" s="761"/>
      <c r="R260" s="761"/>
      <c r="S260" s="761"/>
      <c r="T260" s="761"/>
      <c r="U260" s="761"/>
      <c r="V260" s="761"/>
      <c r="W260" s="762"/>
      <c r="X260" s="6"/>
      <c r="Y260" s="14"/>
    </row>
    <row r="261" spans="2:25" x14ac:dyDescent="0.25">
      <c r="B261" s="13"/>
      <c r="C261" s="760"/>
      <c r="D261" s="761"/>
      <c r="E261" s="761"/>
      <c r="F261" s="761"/>
      <c r="G261" s="761"/>
      <c r="H261" s="761"/>
      <c r="I261" s="761"/>
      <c r="J261" s="761"/>
      <c r="K261" s="761"/>
      <c r="L261" s="761"/>
      <c r="M261" s="761"/>
      <c r="N261" s="761"/>
      <c r="O261" s="761"/>
      <c r="P261" s="761"/>
      <c r="Q261" s="761"/>
      <c r="R261" s="761"/>
      <c r="S261" s="761"/>
      <c r="T261" s="761"/>
      <c r="U261" s="761"/>
      <c r="V261" s="761"/>
      <c r="W261" s="762"/>
      <c r="X261" s="6"/>
      <c r="Y261" s="14"/>
    </row>
    <row r="262" spans="2:25" x14ac:dyDescent="0.25">
      <c r="B262" s="13"/>
      <c r="C262" s="760"/>
      <c r="D262" s="761"/>
      <c r="E262" s="761"/>
      <c r="F262" s="761"/>
      <c r="G262" s="761"/>
      <c r="H262" s="761"/>
      <c r="I262" s="761"/>
      <c r="J262" s="761"/>
      <c r="K262" s="761"/>
      <c r="L262" s="761"/>
      <c r="M262" s="761"/>
      <c r="N262" s="761"/>
      <c r="O262" s="761"/>
      <c r="P262" s="761"/>
      <c r="Q262" s="761"/>
      <c r="R262" s="761"/>
      <c r="S262" s="761"/>
      <c r="T262" s="761"/>
      <c r="U262" s="761"/>
      <c r="V262" s="761"/>
      <c r="W262" s="762"/>
      <c r="X262" s="6"/>
      <c r="Y262" s="14"/>
    </row>
    <row r="263" spans="2:25" x14ac:dyDescent="0.25">
      <c r="B263" s="13"/>
      <c r="C263" s="760"/>
      <c r="D263" s="761"/>
      <c r="E263" s="761"/>
      <c r="F263" s="761"/>
      <c r="G263" s="761"/>
      <c r="H263" s="761"/>
      <c r="I263" s="761"/>
      <c r="J263" s="761"/>
      <c r="K263" s="761"/>
      <c r="L263" s="761"/>
      <c r="M263" s="761"/>
      <c r="N263" s="761"/>
      <c r="O263" s="761"/>
      <c r="P263" s="761"/>
      <c r="Q263" s="761"/>
      <c r="R263" s="761"/>
      <c r="S263" s="761"/>
      <c r="T263" s="761"/>
      <c r="U263" s="761"/>
      <c r="V263" s="761"/>
      <c r="W263" s="762"/>
      <c r="X263" s="6"/>
      <c r="Y263" s="14"/>
    </row>
    <row r="264" spans="2:25" x14ac:dyDescent="0.25">
      <c r="B264" s="13"/>
      <c r="C264" s="760"/>
      <c r="D264" s="761"/>
      <c r="E264" s="761"/>
      <c r="F264" s="761"/>
      <c r="G264" s="761"/>
      <c r="H264" s="761"/>
      <c r="I264" s="761"/>
      <c r="J264" s="761"/>
      <c r="K264" s="761"/>
      <c r="L264" s="761"/>
      <c r="M264" s="761"/>
      <c r="N264" s="761"/>
      <c r="O264" s="761"/>
      <c r="P264" s="761"/>
      <c r="Q264" s="761"/>
      <c r="R264" s="761"/>
      <c r="S264" s="761"/>
      <c r="T264" s="761"/>
      <c r="U264" s="761"/>
      <c r="V264" s="761"/>
      <c r="W264" s="762"/>
      <c r="X264" s="6"/>
      <c r="Y264" s="14"/>
    </row>
    <row r="265" spans="2:25" x14ac:dyDescent="0.25">
      <c r="B265" s="13"/>
      <c r="C265" s="760"/>
      <c r="D265" s="761"/>
      <c r="E265" s="761"/>
      <c r="F265" s="761"/>
      <c r="G265" s="761"/>
      <c r="H265" s="761"/>
      <c r="I265" s="761"/>
      <c r="J265" s="761"/>
      <c r="K265" s="761"/>
      <c r="L265" s="761"/>
      <c r="M265" s="761"/>
      <c r="N265" s="761"/>
      <c r="O265" s="761"/>
      <c r="P265" s="761"/>
      <c r="Q265" s="761"/>
      <c r="R265" s="761"/>
      <c r="S265" s="761"/>
      <c r="T265" s="761"/>
      <c r="U265" s="761"/>
      <c r="V265" s="761"/>
      <c r="W265" s="762"/>
      <c r="X265" s="6"/>
      <c r="Y265" s="14"/>
    </row>
    <row r="266" spans="2:25" x14ac:dyDescent="0.25">
      <c r="B266" s="13"/>
      <c r="C266" s="763"/>
      <c r="D266" s="764"/>
      <c r="E266" s="764"/>
      <c r="F266" s="764"/>
      <c r="G266" s="764"/>
      <c r="H266" s="764"/>
      <c r="I266" s="764"/>
      <c r="J266" s="764"/>
      <c r="K266" s="764"/>
      <c r="L266" s="764"/>
      <c r="M266" s="764"/>
      <c r="N266" s="764"/>
      <c r="O266" s="764"/>
      <c r="P266" s="764"/>
      <c r="Q266" s="764"/>
      <c r="R266" s="764"/>
      <c r="S266" s="764"/>
      <c r="T266" s="764"/>
      <c r="U266" s="764"/>
      <c r="V266" s="764"/>
      <c r="W266" s="765"/>
      <c r="X266" s="6"/>
      <c r="Y266" s="14"/>
    </row>
    <row r="267" spans="2:25" x14ac:dyDescent="0.25">
      <c r="B267" s="13"/>
      <c r="C267" s="6"/>
      <c r="D267" s="6"/>
      <c r="E267" s="6"/>
      <c r="F267" s="6"/>
      <c r="G267" s="6"/>
      <c r="H267" s="6"/>
      <c r="I267" s="6"/>
      <c r="J267" s="6"/>
      <c r="K267" s="6"/>
      <c r="L267" s="6"/>
      <c r="M267" s="6"/>
      <c r="N267" s="6"/>
      <c r="O267" s="6"/>
      <c r="P267" s="6"/>
      <c r="Q267" s="6"/>
      <c r="R267" s="6"/>
      <c r="S267" s="6"/>
      <c r="T267" s="6"/>
      <c r="U267" s="6"/>
      <c r="V267" s="6"/>
      <c r="W267" s="6"/>
      <c r="X267" s="6"/>
      <c r="Y267" s="14"/>
    </row>
    <row r="268" spans="2:25" ht="15.75" thickBot="1" x14ac:dyDescent="0.3">
      <c r="B268" s="15"/>
      <c r="C268" s="16"/>
      <c r="D268" s="16"/>
      <c r="E268" s="16"/>
      <c r="F268" s="16"/>
      <c r="G268" s="16"/>
      <c r="H268" s="16"/>
      <c r="I268" s="16"/>
      <c r="J268" s="16"/>
      <c r="K268" s="16"/>
      <c r="L268" s="16"/>
      <c r="M268" s="16"/>
      <c r="N268" s="16"/>
      <c r="O268" s="16"/>
      <c r="P268" s="16"/>
      <c r="Q268" s="16"/>
      <c r="R268" s="16"/>
      <c r="S268" s="16"/>
      <c r="T268" s="16"/>
      <c r="U268" s="16"/>
      <c r="V268" s="16"/>
      <c r="W268" s="16"/>
      <c r="X268" s="16"/>
      <c r="Y268" s="17"/>
    </row>
  </sheetData>
  <sheetProtection algorithmName="SHA-512" hashValue="pj6mbCB9eAHs/zIg8uI0O5+ykq2MW21jh2e90g1MsVviiwzTERDqY8oc+m3C8ds/u/nTbhUWzaTmDu5fDjhrgg==" saltValue="h0bDazdSAjHuMATnSRJQlg==" spinCount="100000" sheet="1" objects="1" scenarios="1"/>
  <mergeCells count="102">
    <mergeCell ref="L161:M161"/>
    <mergeCell ref="N161:O161"/>
    <mergeCell ref="L160:M160"/>
    <mergeCell ref="N158:O158"/>
    <mergeCell ref="M90:N90"/>
    <mergeCell ref="M91:N91"/>
    <mergeCell ref="M78:N78"/>
    <mergeCell ref="O74:P74"/>
    <mergeCell ref="K35:L35"/>
    <mergeCell ref="M49:N49"/>
    <mergeCell ref="M51:N51"/>
    <mergeCell ref="M76:N76"/>
    <mergeCell ref="M77:N77"/>
    <mergeCell ref="K51:L51"/>
    <mergeCell ref="K46:L46"/>
    <mergeCell ref="K42:L42"/>
    <mergeCell ref="J133:K133"/>
    <mergeCell ref="C112:X116"/>
    <mergeCell ref="O92:P92"/>
    <mergeCell ref="J118:K118"/>
    <mergeCell ref="D137:E137"/>
    <mergeCell ref="W50:X50"/>
    <mergeCell ref="W51:X51"/>
    <mergeCell ref="K41:L41"/>
    <mergeCell ref="Y4:Z4"/>
    <mergeCell ref="K12:L12"/>
    <mergeCell ref="K13:L13"/>
    <mergeCell ref="K37:L37"/>
    <mergeCell ref="K40:L40"/>
    <mergeCell ref="K24:L24"/>
    <mergeCell ref="K26:L26"/>
    <mergeCell ref="K27:L27"/>
    <mergeCell ref="K28:L28"/>
    <mergeCell ref="K31:L31"/>
    <mergeCell ref="K32:L32"/>
    <mergeCell ref="J30:M30"/>
    <mergeCell ref="K10:L10"/>
    <mergeCell ref="K34:L34"/>
    <mergeCell ref="K33:L33"/>
    <mergeCell ref="O10:S10"/>
    <mergeCell ref="K36:L36"/>
    <mergeCell ref="L203:M203"/>
    <mergeCell ref="P236:Q236"/>
    <mergeCell ref="L210:M210"/>
    <mergeCell ref="N210:O210"/>
    <mergeCell ref="K171:L171"/>
    <mergeCell ref="K172:L172"/>
    <mergeCell ref="C175:X176"/>
    <mergeCell ref="C177:X178"/>
    <mergeCell ref="K183:L183"/>
    <mergeCell ref="K184:L184"/>
    <mergeCell ref="M181:N181"/>
    <mergeCell ref="M184:N184"/>
    <mergeCell ref="L201:M201"/>
    <mergeCell ref="N231:O231"/>
    <mergeCell ref="L204:M204"/>
    <mergeCell ref="W213:X213"/>
    <mergeCell ref="L211:M211"/>
    <mergeCell ref="P233:Q233"/>
    <mergeCell ref="N235:O235"/>
    <mergeCell ref="K43:L43"/>
    <mergeCell ref="K44:L44"/>
    <mergeCell ref="L122:M122"/>
    <mergeCell ref="J123:K123"/>
    <mergeCell ref="J124:K124"/>
    <mergeCell ref="L124:M124"/>
    <mergeCell ref="D55:X64"/>
    <mergeCell ref="D96:X100"/>
    <mergeCell ref="M84:N84"/>
    <mergeCell ref="W91:X91"/>
    <mergeCell ref="W92:X92"/>
    <mergeCell ref="W123:X123"/>
    <mergeCell ref="W124:X124"/>
    <mergeCell ref="C108:W109"/>
    <mergeCell ref="O87:P87"/>
    <mergeCell ref="M85:N85"/>
    <mergeCell ref="O80:P80"/>
    <mergeCell ref="M83:N83"/>
    <mergeCell ref="W252:X252"/>
    <mergeCell ref="R253:S253"/>
    <mergeCell ref="W253:X253"/>
    <mergeCell ref="C257:W266"/>
    <mergeCell ref="J134:N134"/>
    <mergeCell ref="D188:X192"/>
    <mergeCell ref="D217:X221"/>
    <mergeCell ref="D240:X244"/>
    <mergeCell ref="W235:X235"/>
    <mergeCell ref="W236:X236"/>
    <mergeCell ref="N213:O213"/>
    <mergeCell ref="W139:X139"/>
    <mergeCell ref="W161:X161"/>
    <mergeCell ref="W160:X160"/>
    <mergeCell ref="W183:X183"/>
    <mergeCell ref="W184:X184"/>
    <mergeCell ref="W212:X212"/>
    <mergeCell ref="D139:E139"/>
    <mergeCell ref="L148:M148"/>
    <mergeCell ref="C151:W155"/>
    <mergeCell ref="N211:O211"/>
    <mergeCell ref="L209:M209"/>
    <mergeCell ref="W138:X138"/>
    <mergeCell ref="N208:O208"/>
  </mergeCells>
  <conditionalFormatting sqref="O10:S10">
    <cfRule type="expression" dxfId="17" priority="7">
      <formula>$K$10="Non"</formula>
    </cfRule>
  </conditionalFormatting>
  <conditionalFormatting sqref="K13:L13">
    <cfRule type="expression" dxfId="16" priority="6">
      <formula>$K$10="Non"</formula>
    </cfRule>
  </conditionalFormatting>
  <conditionalFormatting sqref="O12:S12">
    <cfRule type="expression" dxfId="15" priority="5">
      <formula>$O$12&lt;&gt;""</formula>
    </cfRule>
  </conditionalFormatting>
  <conditionalFormatting sqref="O13:S13">
    <cfRule type="expression" dxfId="14" priority="4">
      <formula>$O$13&lt;&gt;""</formula>
    </cfRule>
  </conditionalFormatting>
  <conditionalFormatting sqref="P84:T84">
    <cfRule type="expression" dxfId="13" priority="3">
      <formula>$P$84&lt;&gt;""</formula>
    </cfRule>
  </conditionalFormatting>
  <conditionalFormatting sqref="N118:Q118">
    <cfRule type="expression" dxfId="12" priority="2">
      <formula>$N$118&lt;&gt;""</formula>
    </cfRule>
  </conditionalFormatting>
  <conditionalFormatting sqref="P148:S148">
    <cfRule type="expression" dxfId="11" priority="1">
      <formula>$P$148&lt;&gt;""</formula>
    </cfRule>
  </conditionalFormatting>
  <dataValidations count="2">
    <dataValidation type="list" allowBlank="1" showInputMessage="1" showErrorMessage="1" sqref="K24:L24 K10:L10 N231:O231 J133:K133">
      <formula1>"Oui,Non"</formula1>
    </dataValidation>
    <dataValidation type="whole" allowBlank="1" showInputMessage="1" showErrorMessage="1" sqref="K26:L27 K31:L37 K40:L44 M76:N78">
      <formula1>0</formula1>
      <formula2>100000</formula2>
    </dataValidation>
  </dataValidations>
  <pageMargins left="0.7" right="0.7" top="0.75" bottom="0.75" header="0.3" footer="0.3"/>
  <pageSetup paperSize="9" scale="5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fitToPage="1"/>
  </sheetPr>
  <dimension ref="A1:AD76"/>
  <sheetViews>
    <sheetView showGridLines="0" zoomScale="85" zoomScaleNormal="85" workbookViewId="0">
      <selection activeCell="X25" sqref="X25"/>
    </sheetView>
  </sheetViews>
  <sheetFormatPr baseColWidth="10" defaultColWidth="9.140625" defaultRowHeight="15" x14ac:dyDescent="0.25"/>
  <sheetData>
    <row r="1" spans="1:30" x14ac:dyDescent="0.25">
      <c r="A1" s="29"/>
      <c r="B1" s="29"/>
      <c r="C1" s="29"/>
      <c r="D1" s="29"/>
      <c r="E1" s="29"/>
      <c r="F1" s="29"/>
      <c r="G1" s="29"/>
      <c r="H1" s="29"/>
      <c r="I1" s="29"/>
      <c r="J1" s="29"/>
      <c r="K1" s="81"/>
      <c r="L1" s="81"/>
      <c r="M1" s="81"/>
      <c r="N1" s="81"/>
      <c r="O1" s="81"/>
      <c r="P1" s="81"/>
      <c r="Q1" s="29"/>
      <c r="R1" s="29"/>
      <c r="S1" s="29"/>
      <c r="T1" s="29"/>
      <c r="U1" s="83" t="s">
        <v>715</v>
      </c>
      <c r="V1" s="29"/>
      <c r="W1" s="29"/>
      <c r="X1" s="29"/>
      <c r="Y1" s="29"/>
      <c r="Z1" s="29"/>
      <c r="AA1" s="29"/>
      <c r="AB1" s="29"/>
      <c r="AC1" s="76"/>
      <c r="AD1" s="76"/>
    </row>
    <row r="2" spans="1:30" x14ac:dyDescent="0.25">
      <c r="A2" s="29"/>
      <c r="B2" s="29"/>
      <c r="C2" s="29"/>
      <c r="D2" s="29"/>
      <c r="E2" s="29"/>
      <c r="F2" s="29"/>
      <c r="G2" s="29"/>
      <c r="H2" s="29"/>
      <c r="I2" s="29"/>
      <c r="J2" s="29"/>
      <c r="K2" s="81"/>
      <c r="L2" s="81"/>
      <c r="M2" s="81"/>
      <c r="N2" s="81"/>
      <c r="O2" s="81"/>
      <c r="P2" s="81"/>
      <c r="Q2" s="29"/>
      <c r="R2" s="29"/>
      <c r="S2" s="29"/>
      <c r="T2" s="29"/>
      <c r="U2" s="83" t="s">
        <v>716</v>
      </c>
      <c r="V2" s="29"/>
      <c r="W2" s="29"/>
      <c r="X2" s="29"/>
      <c r="Y2" s="29"/>
      <c r="Z2" s="29"/>
      <c r="AA2" s="29"/>
      <c r="AB2" s="29"/>
      <c r="AC2" s="76"/>
      <c r="AD2" s="76"/>
    </row>
    <row r="3" spans="1:30" x14ac:dyDescent="0.25">
      <c r="A3" s="29"/>
      <c r="B3" s="29"/>
      <c r="C3" s="29"/>
      <c r="D3" s="29"/>
      <c r="E3" s="29"/>
      <c r="F3" s="29"/>
      <c r="G3" s="29"/>
      <c r="H3" s="29"/>
      <c r="I3" s="29"/>
      <c r="J3" s="29"/>
      <c r="K3" s="81"/>
      <c r="L3" s="81"/>
      <c r="M3" s="81"/>
      <c r="N3" s="81"/>
      <c r="O3" s="81"/>
      <c r="P3" s="81"/>
      <c r="Q3" s="29"/>
      <c r="R3" s="29"/>
      <c r="S3" s="29"/>
      <c r="T3" s="29"/>
      <c r="U3" s="82" t="s">
        <v>2612</v>
      </c>
      <c r="V3" s="29"/>
      <c r="W3" s="29"/>
      <c r="X3" s="29"/>
      <c r="Y3" s="29"/>
      <c r="Z3" s="29"/>
      <c r="AA3" s="29"/>
      <c r="AB3" s="29"/>
      <c r="AC3" s="76"/>
      <c r="AD3" s="76"/>
    </row>
    <row r="4" spans="1:30" x14ac:dyDescent="0.25">
      <c r="A4" s="29"/>
      <c r="B4" s="29"/>
      <c r="C4" s="29"/>
      <c r="D4" s="29"/>
      <c r="E4" s="29"/>
      <c r="F4" s="29"/>
      <c r="G4" s="29"/>
      <c r="H4" s="29"/>
      <c r="I4" s="29"/>
      <c r="J4" s="29"/>
      <c r="K4" s="29"/>
      <c r="L4" s="29"/>
      <c r="M4" s="29"/>
      <c r="N4" s="29"/>
      <c r="O4" s="29"/>
      <c r="P4" s="29"/>
      <c r="Q4" s="29"/>
      <c r="R4" s="29"/>
      <c r="S4" s="29"/>
      <c r="T4" s="29"/>
      <c r="U4" s="29"/>
      <c r="V4" s="29"/>
      <c r="W4" s="29"/>
      <c r="X4" s="29"/>
      <c r="Y4" s="29"/>
      <c r="Z4" s="29"/>
      <c r="AA4" s="696" t="str">
        <f>Accueil!I6</f>
        <v>Version 1.06</v>
      </c>
      <c r="AB4" s="696"/>
      <c r="AC4" s="76"/>
      <c r="AD4" s="76"/>
    </row>
    <row r="5" spans="1:30" x14ac:dyDescent="0.2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76"/>
      <c r="AD5" s="76"/>
    </row>
    <row r="8" spans="1:30" ht="15.75" thickBot="1" x14ac:dyDescent="0.3">
      <c r="B8" s="75"/>
      <c r="P8" s="75"/>
    </row>
    <row r="9" spans="1:30" x14ac:dyDescent="0.25">
      <c r="B9" s="18"/>
      <c r="C9" s="108"/>
      <c r="D9" s="108"/>
      <c r="E9" s="108"/>
      <c r="F9" s="108"/>
      <c r="G9" s="108"/>
      <c r="H9" s="108"/>
      <c r="I9" s="108"/>
      <c r="J9" s="1059" t="s">
        <v>285</v>
      </c>
      <c r="K9" s="1059"/>
      <c r="L9" s="1059" t="s">
        <v>460</v>
      </c>
      <c r="M9" s="1059"/>
      <c r="N9" s="20"/>
      <c r="P9" s="18"/>
      <c r="Q9" s="108"/>
      <c r="R9" s="108"/>
      <c r="S9" s="108"/>
      <c r="T9" s="108"/>
      <c r="U9" s="108"/>
      <c r="V9" s="108"/>
      <c r="W9" s="108"/>
      <c r="X9" s="1064" t="s">
        <v>285</v>
      </c>
      <c r="Y9" s="1064"/>
      <c r="Z9" s="1059" t="s">
        <v>460</v>
      </c>
      <c r="AA9" s="1059"/>
      <c r="AB9" s="20"/>
    </row>
    <row r="10" spans="1:30" x14ac:dyDescent="0.25">
      <c r="B10" s="21"/>
      <c r="C10" s="124" t="s">
        <v>617</v>
      </c>
      <c r="D10" s="124"/>
      <c r="E10" s="124"/>
      <c r="F10" s="124"/>
      <c r="G10" s="124"/>
      <c r="H10" s="124"/>
      <c r="I10" s="125"/>
      <c r="J10" s="1072">
        <f>Biodiversité!W58</f>
        <v>0</v>
      </c>
      <c r="K10" s="1073"/>
      <c r="L10" s="1055">
        <f>Biodiversité!Y58</f>
        <v>9</v>
      </c>
      <c r="M10" s="1056"/>
      <c r="N10" s="22"/>
      <c r="P10" s="21"/>
      <c r="Q10" s="106" t="s">
        <v>620</v>
      </c>
      <c r="R10" s="106"/>
      <c r="S10" s="106"/>
      <c r="T10" s="106"/>
      <c r="U10" s="106"/>
      <c r="V10" s="106"/>
      <c r="W10" s="106"/>
      <c r="X10" s="1065">
        <f>IF(cCMR1=0,"AUDIT NON VALIDE",MIN(SUM(Phyto!P22:Q23),2))</f>
        <v>0</v>
      </c>
      <c r="Y10" s="1066"/>
      <c r="Z10" s="1053">
        <f>Phyto!W25</f>
        <v>2</v>
      </c>
      <c r="AA10" s="1054"/>
      <c r="AB10" s="22"/>
    </row>
    <row r="11" spans="1:30" x14ac:dyDescent="0.25">
      <c r="B11" s="21"/>
      <c r="C11" s="126" t="s">
        <v>286</v>
      </c>
      <c r="D11" s="126"/>
      <c r="E11" s="126"/>
      <c r="F11" s="126"/>
      <c r="G11" s="126"/>
      <c r="H11" s="126"/>
      <c r="I11" s="127"/>
      <c r="J11" s="1072">
        <f>Biodiversité!S85</f>
        <v>0</v>
      </c>
      <c r="K11" s="1073"/>
      <c r="L11" s="1055">
        <f>Biodiversité!W85</f>
        <v>5</v>
      </c>
      <c r="M11" s="1056"/>
      <c r="N11" s="22"/>
      <c r="P11" s="21"/>
      <c r="Q11" s="107" t="s">
        <v>330</v>
      </c>
      <c r="R11" s="107"/>
      <c r="S11" s="107"/>
      <c r="T11" s="107"/>
      <c r="U11" s="107"/>
      <c r="V11" s="107"/>
      <c r="W11" s="107"/>
      <c r="X11" s="1065">
        <f>Phyto!P48</f>
        <v>0</v>
      </c>
      <c r="Y11" s="1066"/>
      <c r="Z11" s="1053">
        <f>Phyto!W48</f>
        <v>10</v>
      </c>
      <c r="AA11" s="1054"/>
      <c r="AB11" s="22"/>
    </row>
    <row r="12" spans="1:30" x14ac:dyDescent="0.25">
      <c r="B12" s="21"/>
      <c r="C12" s="126" t="s">
        <v>287</v>
      </c>
      <c r="D12" s="126"/>
      <c r="E12" s="126"/>
      <c r="F12" s="126"/>
      <c r="G12" s="126"/>
      <c r="H12" s="126"/>
      <c r="I12" s="127"/>
      <c r="J12" s="1072">
        <f>Biodiversité!Q112</f>
        <v>0</v>
      </c>
      <c r="K12" s="1073"/>
      <c r="L12" s="1055">
        <f>Biodiversité!W85</f>
        <v>5</v>
      </c>
      <c r="M12" s="1056"/>
      <c r="N12" s="22"/>
      <c r="P12" s="21"/>
      <c r="Q12" s="107" t="s">
        <v>621</v>
      </c>
      <c r="R12" s="107"/>
      <c r="S12" s="107"/>
      <c r="T12" s="107"/>
      <c r="U12" s="107"/>
      <c r="V12" s="107"/>
      <c r="W12" s="107"/>
      <c r="X12" s="1065">
        <f>Phyto!M111</f>
        <v>0</v>
      </c>
      <c r="Y12" s="1066"/>
      <c r="Z12" s="1053">
        <f>Phyto!O111</f>
        <v>10</v>
      </c>
      <c r="AA12" s="1054"/>
      <c r="AB12" s="22"/>
    </row>
    <row r="13" spans="1:30" x14ac:dyDescent="0.25">
      <c r="B13" s="21"/>
      <c r="C13" s="126" t="s">
        <v>288</v>
      </c>
      <c r="D13" s="126"/>
      <c r="E13" s="126"/>
      <c r="F13" s="126"/>
      <c r="G13" s="126"/>
      <c r="H13" s="126"/>
      <c r="I13" s="127"/>
      <c r="J13" s="1072">
        <f>Biodiversité!O154</f>
        <v>0</v>
      </c>
      <c r="K13" s="1073"/>
      <c r="L13" s="1055">
        <f>Biodiversité!W154</f>
        <v>6</v>
      </c>
      <c r="M13" s="1056"/>
      <c r="N13" s="22"/>
      <c r="P13" s="21"/>
      <c r="Q13" s="107" t="s">
        <v>2421</v>
      </c>
      <c r="R13" s="107"/>
      <c r="S13" s="107"/>
      <c r="T13" s="107"/>
      <c r="U13" s="107"/>
      <c r="V13" s="107"/>
      <c r="W13" s="107"/>
      <c r="X13" s="1065">
        <f>Phyto!S147</f>
        <v>0</v>
      </c>
      <c r="Y13" s="1066"/>
      <c r="Z13" s="1053">
        <f>Phyto!W147</f>
        <v>0</v>
      </c>
      <c r="AA13" s="1054"/>
      <c r="AB13" s="22"/>
    </row>
    <row r="14" spans="1:30" x14ac:dyDescent="0.25">
      <c r="B14" s="21"/>
      <c r="C14" s="126" t="s">
        <v>289</v>
      </c>
      <c r="D14" s="126"/>
      <c r="E14" s="126"/>
      <c r="F14" s="126"/>
      <c r="G14" s="126"/>
      <c r="H14" s="126"/>
      <c r="I14" s="127"/>
      <c r="J14" s="1072">
        <f>Biodiversité!L180</f>
        <v>0</v>
      </c>
      <c r="K14" s="1073"/>
      <c r="L14" s="1055">
        <f>Biodiversité!W180</f>
        <v>3</v>
      </c>
      <c r="M14" s="1056"/>
      <c r="N14" s="22"/>
      <c r="P14" s="21"/>
      <c r="Q14" s="107" t="s">
        <v>331</v>
      </c>
      <c r="R14" s="107"/>
      <c r="S14" s="107"/>
      <c r="T14" s="107"/>
      <c r="U14" s="107"/>
      <c r="V14" s="107"/>
      <c r="W14" s="107"/>
      <c r="X14" s="1065">
        <f>Phyto!R187</f>
        <v>0</v>
      </c>
      <c r="Y14" s="1066"/>
      <c r="Z14" s="1053">
        <f>Phyto!W187</f>
        <v>3</v>
      </c>
      <c r="AA14" s="1054"/>
      <c r="AB14" s="22"/>
    </row>
    <row r="15" spans="1:30" x14ac:dyDescent="0.25">
      <c r="B15" s="21"/>
      <c r="C15" s="126" t="s">
        <v>618</v>
      </c>
      <c r="D15" s="126"/>
      <c r="E15" s="126"/>
      <c r="F15" s="126"/>
      <c r="G15" s="126"/>
      <c r="H15" s="126"/>
      <c r="I15" s="127"/>
      <c r="J15" s="1072">
        <f>Biodiversité!L199</f>
        <v>0</v>
      </c>
      <c r="K15" s="1073"/>
      <c r="L15" s="1055">
        <f>Biodiversité!W199</f>
        <v>1</v>
      </c>
      <c r="M15" s="1056"/>
      <c r="N15" s="22"/>
      <c r="P15" s="21"/>
      <c r="Q15" s="107" t="s">
        <v>622</v>
      </c>
      <c r="R15" s="107"/>
      <c r="S15" s="107"/>
      <c r="T15" s="107"/>
      <c r="U15" s="107"/>
      <c r="V15" s="107"/>
      <c r="W15" s="107"/>
      <c r="X15" s="1065">
        <f>Phyto!P229</f>
        <v>0</v>
      </c>
      <c r="Y15" s="1066"/>
      <c r="Z15" s="1053">
        <f>Phyto!W229</f>
        <v>3</v>
      </c>
      <c r="AA15" s="1054"/>
      <c r="AB15" s="22"/>
    </row>
    <row r="16" spans="1:30" x14ac:dyDescent="0.25">
      <c r="B16" s="21"/>
      <c r="C16" s="126" t="s">
        <v>619</v>
      </c>
      <c r="D16" s="126"/>
      <c r="E16" s="126"/>
      <c r="F16" s="126"/>
      <c r="G16" s="126"/>
      <c r="H16" s="126"/>
      <c r="I16" s="127"/>
      <c r="J16" s="1074">
        <f>Biodiversité!L231</f>
        <v>0</v>
      </c>
      <c r="K16" s="1075"/>
      <c r="L16" s="1055">
        <f>Biodiversité!W231</f>
        <v>6</v>
      </c>
      <c r="M16" s="1056"/>
      <c r="N16" s="22"/>
      <c r="P16" s="21"/>
      <c r="Q16" s="107" t="s">
        <v>623</v>
      </c>
      <c r="R16" s="107"/>
      <c r="S16" s="107"/>
      <c r="T16" s="107"/>
      <c r="U16" s="107"/>
      <c r="V16" s="107"/>
      <c r="W16" s="107"/>
      <c r="X16" s="1065">
        <f>Phyto!D253</f>
        <v>0</v>
      </c>
      <c r="Y16" s="1066"/>
      <c r="Z16" s="1053">
        <f>Phyto!W253</f>
        <v>2</v>
      </c>
      <c r="AA16" s="1054"/>
      <c r="AB16" s="22"/>
    </row>
    <row r="17" spans="2:28" x14ac:dyDescent="0.25">
      <c r="B17" s="21"/>
      <c r="C17" s="126" t="s">
        <v>2558</v>
      </c>
      <c r="D17" s="126"/>
      <c r="E17" s="126"/>
      <c r="F17" s="126"/>
      <c r="G17" s="126"/>
      <c r="H17" s="126"/>
      <c r="I17" s="127"/>
      <c r="J17" s="1074">
        <f>Biodiversité!O247</f>
        <v>0</v>
      </c>
      <c r="K17" s="1075"/>
      <c r="L17" s="1055">
        <f>Biodiversité!W247</f>
        <v>1</v>
      </c>
      <c r="M17" s="1056"/>
      <c r="N17" s="22"/>
      <c r="P17" s="21"/>
      <c r="Q17" s="107" t="s">
        <v>332</v>
      </c>
      <c r="R17" s="107"/>
      <c r="S17" s="107"/>
      <c r="T17" s="107"/>
      <c r="U17" s="107"/>
      <c r="V17" s="107"/>
      <c r="W17" s="107"/>
      <c r="X17" s="1065">
        <f>Phyto!L286</f>
        <v>0</v>
      </c>
      <c r="Y17" s="1066"/>
      <c r="Z17" s="1053">
        <f>Phyto!W286</f>
        <v>0</v>
      </c>
      <c r="AA17" s="1054"/>
      <c r="AB17" s="22"/>
    </row>
    <row r="18" spans="2:28" x14ac:dyDescent="0.25">
      <c r="B18" s="21"/>
      <c r="C18" s="6"/>
      <c r="D18" s="6"/>
      <c r="E18" s="6"/>
      <c r="F18" s="6"/>
      <c r="G18" s="6"/>
      <c r="J18" s="136"/>
      <c r="K18" s="136"/>
      <c r="L18" s="136"/>
      <c r="M18" s="136"/>
      <c r="N18" s="22"/>
      <c r="P18" s="21"/>
      <c r="Q18" s="107" t="s">
        <v>2422</v>
      </c>
      <c r="R18" s="107"/>
      <c r="S18" s="107"/>
      <c r="T18" s="107"/>
      <c r="U18" s="107"/>
      <c r="V18" s="107"/>
      <c r="W18" s="107"/>
      <c r="X18" s="1065">
        <f>Phyto!L319</f>
        <v>0</v>
      </c>
      <c r="Y18" s="1066"/>
      <c r="Z18" s="1053">
        <f>Phyto!W319</f>
        <v>0</v>
      </c>
      <c r="AA18" s="1054"/>
      <c r="AB18" s="22"/>
    </row>
    <row r="19" spans="2:28" x14ac:dyDescent="0.25">
      <c r="B19" s="21"/>
      <c r="C19" s="6"/>
      <c r="D19" s="6"/>
      <c r="E19" s="6"/>
      <c r="F19" s="6"/>
      <c r="G19" s="6"/>
      <c r="H19" s="6"/>
      <c r="I19" s="6"/>
      <c r="J19" s="137"/>
      <c r="K19" s="137"/>
      <c r="L19" s="137"/>
      <c r="M19" s="137"/>
      <c r="N19" s="22"/>
      <c r="P19" s="21"/>
      <c r="Q19" s="107" t="s">
        <v>333</v>
      </c>
      <c r="R19" s="107"/>
      <c r="S19" s="107"/>
      <c r="T19" s="107"/>
      <c r="U19" s="107"/>
      <c r="V19" s="107"/>
      <c r="W19" s="107"/>
      <c r="X19" s="1065">
        <f>Phyto!N353</f>
        <v>0</v>
      </c>
      <c r="Y19" s="1066"/>
      <c r="Z19" s="1053">
        <f>Phyto!W353</f>
        <v>0</v>
      </c>
      <c r="AA19" s="1054"/>
      <c r="AB19" s="22"/>
    </row>
    <row r="20" spans="2:28" x14ac:dyDescent="0.25">
      <c r="B20" s="21"/>
      <c r="C20" s="6"/>
      <c r="D20" s="6"/>
      <c r="E20" s="6"/>
      <c r="F20" s="6"/>
      <c r="G20" s="6"/>
      <c r="H20" s="857" t="s">
        <v>276</v>
      </c>
      <c r="I20" s="857"/>
      <c r="J20" s="1061">
        <f>SUM(J10:K17)</f>
        <v>0</v>
      </c>
      <c r="K20" s="1061"/>
      <c r="L20" s="1061">
        <f>SUM(L10:M17)</f>
        <v>36</v>
      </c>
      <c r="M20" s="1061"/>
      <c r="N20" s="22"/>
      <c r="P20" s="21"/>
      <c r="Q20" s="6"/>
      <c r="R20" s="6"/>
      <c r="S20" s="6"/>
      <c r="T20" s="6"/>
      <c r="U20" s="6"/>
      <c r="V20" s="857" t="s">
        <v>276</v>
      </c>
      <c r="W20" s="857"/>
      <c r="X20" s="1052">
        <f>IF(cCMR1=0,"Non validé",SUM(X10:Y19))</f>
        <v>0</v>
      </c>
      <c r="Y20" s="1052"/>
      <c r="Z20" s="1052">
        <f>IF(cCMR1=0,"Non validé",SUM(Z10:AA19))</f>
        <v>30</v>
      </c>
      <c r="AA20" s="1052"/>
      <c r="AB20" s="22"/>
    </row>
    <row r="21" spans="2:28" ht="15.75" thickBot="1" x14ac:dyDescent="0.3">
      <c r="B21" s="24"/>
      <c r="C21" s="25"/>
      <c r="D21" s="25"/>
      <c r="E21" s="25"/>
      <c r="F21" s="25"/>
      <c r="G21" s="25"/>
      <c r="H21" s="25"/>
      <c r="I21" s="25"/>
      <c r="J21" s="25"/>
      <c r="K21" s="25"/>
      <c r="L21" s="25"/>
      <c r="M21" s="25"/>
      <c r="N21" s="26"/>
      <c r="P21" s="24"/>
      <c r="Q21" s="25"/>
      <c r="R21" s="25"/>
      <c r="S21" s="25"/>
      <c r="T21" s="25"/>
      <c r="U21" s="25"/>
      <c r="V21" s="25"/>
      <c r="W21" s="25"/>
      <c r="X21" s="25"/>
      <c r="Y21" s="25"/>
      <c r="Z21" s="25"/>
      <c r="AA21" s="25"/>
      <c r="AB21" s="26"/>
    </row>
    <row r="25" spans="2:28" ht="15.75" thickBot="1" x14ac:dyDescent="0.3">
      <c r="B25" s="75"/>
    </row>
    <row r="26" spans="2:28" x14ac:dyDescent="0.25">
      <c r="B26" s="18"/>
      <c r="C26" s="108"/>
      <c r="D26" s="108"/>
      <c r="E26" s="108"/>
      <c r="F26" s="108"/>
      <c r="G26" s="108"/>
      <c r="H26" s="108"/>
      <c r="I26" s="108"/>
      <c r="J26" s="1064" t="s">
        <v>285</v>
      </c>
      <c r="K26" s="1064"/>
      <c r="L26" s="1059" t="s">
        <v>460</v>
      </c>
      <c r="M26" s="1059"/>
      <c r="N26" s="20"/>
      <c r="P26" s="18"/>
      <c r="Q26" s="108"/>
      <c r="R26" s="108"/>
      <c r="S26" s="108"/>
      <c r="T26" s="108"/>
      <c r="U26" s="108"/>
      <c r="V26" s="108"/>
      <c r="W26" s="108"/>
      <c r="X26" s="1064" t="s">
        <v>285</v>
      </c>
      <c r="Y26" s="1064"/>
      <c r="Z26" s="1059" t="s">
        <v>460</v>
      </c>
      <c r="AA26" s="1059"/>
      <c r="AB26" s="20"/>
    </row>
    <row r="27" spans="2:28" x14ac:dyDescent="0.25">
      <c r="B27" s="21"/>
      <c r="C27" s="106" t="s">
        <v>746</v>
      </c>
      <c r="D27" s="106"/>
      <c r="E27" s="106"/>
      <c r="F27" s="106"/>
      <c r="G27" s="106"/>
      <c r="H27" s="106"/>
      <c r="I27" s="106"/>
      <c r="J27" s="1070">
        <f>Fertilisation!P64</f>
        <v>0</v>
      </c>
      <c r="K27" s="1071"/>
      <c r="L27" s="1060">
        <f>Fertilisation!W64</f>
        <v>8</v>
      </c>
      <c r="M27" s="1056"/>
      <c r="N27" s="22"/>
      <c r="P27" s="21"/>
      <c r="Q27" s="106" t="s">
        <v>2563</v>
      </c>
      <c r="R27" s="106"/>
      <c r="S27" s="106"/>
      <c r="T27" s="106"/>
      <c r="U27" s="106"/>
      <c r="V27" s="106"/>
      <c r="W27" s="106"/>
      <c r="X27" s="1065">
        <f>Irrigation!M51</f>
        <v>0</v>
      </c>
      <c r="Y27" s="1066"/>
      <c r="Z27" s="1053">
        <f>Irrigation!W51</f>
        <v>6</v>
      </c>
      <c r="AA27" s="1054"/>
      <c r="AB27" s="22"/>
    </row>
    <row r="28" spans="2:28" x14ac:dyDescent="0.25">
      <c r="B28" s="21"/>
      <c r="C28" s="107" t="s">
        <v>2423</v>
      </c>
      <c r="D28" s="107"/>
      <c r="E28" s="107"/>
      <c r="F28" s="107"/>
      <c r="G28" s="107"/>
      <c r="H28" s="107"/>
      <c r="I28" s="107"/>
      <c r="J28" s="1070">
        <f>Fertilisation!S100</f>
        <v>0</v>
      </c>
      <c r="K28" s="1071"/>
      <c r="L28" s="1055">
        <f>Fertilisation!W100</f>
        <v>0</v>
      </c>
      <c r="M28" s="1056"/>
      <c r="N28" s="22"/>
      <c r="P28" s="21"/>
      <c r="Q28" s="107" t="s">
        <v>624</v>
      </c>
      <c r="R28" s="107"/>
      <c r="S28" s="107"/>
      <c r="T28" s="107"/>
      <c r="U28" s="107"/>
      <c r="V28" s="107"/>
      <c r="W28" s="107"/>
      <c r="X28" s="1065">
        <f>Irrigation!O92</f>
        <v>0</v>
      </c>
      <c r="Y28" s="1066"/>
      <c r="Z28" s="1053">
        <f>Irrigation!W92</f>
        <v>2</v>
      </c>
      <c r="AA28" s="1054"/>
      <c r="AB28" s="22"/>
    </row>
    <row r="29" spans="2:28" x14ac:dyDescent="0.25">
      <c r="B29" s="21"/>
      <c r="C29" s="107" t="s">
        <v>349</v>
      </c>
      <c r="D29" s="107"/>
      <c r="E29" s="107"/>
      <c r="F29" s="107"/>
      <c r="G29" s="107"/>
      <c r="H29" s="107"/>
      <c r="I29" s="107"/>
      <c r="J29" s="1070">
        <f>Fertilisation!$P$122</f>
        <v>0</v>
      </c>
      <c r="K29" s="1071"/>
      <c r="L29" s="1055">
        <f>Fertilisation!W122</f>
        <v>4</v>
      </c>
      <c r="M29" s="1056"/>
      <c r="N29" s="22"/>
      <c r="P29" s="21"/>
      <c r="Q29" s="107" t="s">
        <v>2564</v>
      </c>
      <c r="R29" s="107"/>
      <c r="S29" s="107"/>
      <c r="T29" s="107"/>
      <c r="U29" s="107"/>
      <c r="V29" s="107"/>
      <c r="W29" s="107"/>
      <c r="X29" s="1065">
        <f>Irrigation!L124</f>
        <v>0</v>
      </c>
      <c r="Y29" s="1066"/>
      <c r="Z29" s="1053">
        <f>Irrigation!W124</f>
        <v>6</v>
      </c>
      <c r="AA29" s="1054"/>
      <c r="AB29" s="22"/>
    </row>
    <row r="30" spans="2:28" x14ac:dyDescent="0.25">
      <c r="B30" s="21"/>
      <c r="C30" s="107" t="s">
        <v>350</v>
      </c>
      <c r="D30" s="107"/>
      <c r="E30" s="107"/>
      <c r="F30" s="107"/>
      <c r="G30" s="107"/>
      <c r="H30" s="107"/>
      <c r="I30" s="107"/>
      <c r="J30" s="1057">
        <f>Fertilisation!P187</f>
        <v>0</v>
      </c>
      <c r="K30" s="1058"/>
      <c r="L30" s="1055">
        <f>Fertilisation!W187</f>
        <v>3</v>
      </c>
      <c r="M30" s="1056"/>
      <c r="N30" s="22"/>
      <c r="P30" s="21"/>
      <c r="Q30" s="107" t="s">
        <v>380</v>
      </c>
      <c r="R30" s="107"/>
      <c r="S30" s="107"/>
      <c r="T30" s="107"/>
      <c r="U30" s="107"/>
      <c r="V30" s="107"/>
      <c r="W30" s="107"/>
      <c r="X30" s="1065">
        <f>Irrigation!D139</f>
        <v>0</v>
      </c>
      <c r="Y30" s="1066"/>
      <c r="Z30" s="1053">
        <f>Irrigation!W139</f>
        <v>2</v>
      </c>
      <c r="AA30" s="1054"/>
      <c r="AB30" s="22"/>
    </row>
    <row r="31" spans="2:28" x14ac:dyDescent="0.25">
      <c r="B31" s="21"/>
      <c r="C31" s="107" t="s">
        <v>351</v>
      </c>
      <c r="D31" s="107"/>
      <c r="E31" s="107"/>
      <c r="F31" s="107"/>
      <c r="G31" s="107"/>
      <c r="H31" s="107"/>
      <c r="I31" s="107"/>
      <c r="J31" s="1070">
        <f>Fertilisation!$L$211</f>
        <v>0</v>
      </c>
      <c r="K31" s="1071"/>
      <c r="L31" s="1055">
        <f>Fertilisation!W211</f>
        <v>10</v>
      </c>
      <c r="M31" s="1056"/>
      <c r="N31" s="22"/>
      <c r="P31" s="21"/>
      <c r="Q31" s="107" t="s">
        <v>387</v>
      </c>
      <c r="R31" s="107"/>
      <c r="S31" s="107"/>
      <c r="T31" s="107"/>
      <c r="U31" s="107"/>
      <c r="V31" s="107"/>
      <c r="W31" s="107"/>
      <c r="X31" s="1065">
        <f>Irrigation!N161</f>
        <v>0</v>
      </c>
      <c r="Y31" s="1066"/>
      <c r="Z31" s="1053">
        <f>Irrigation!W161</f>
        <v>6</v>
      </c>
      <c r="AA31" s="1054"/>
      <c r="AB31" s="22"/>
    </row>
    <row r="32" spans="2:28" x14ac:dyDescent="0.25">
      <c r="B32" s="21"/>
      <c r="C32" s="107" t="s">
        <v>352</v>
      </c>
      <c r="D32" s="107"/>
      <c r="E32" s="107"/>
      <c r="F32" s="107"/>
      <c r="G32" s="107"/>
      <c r="H32" s="107"/>
      <c r="I32" s="107"/>
      <c r="J32" s="1070">
        <f>Fertilisation!$P$238</f>
        <v>0</v>
      </c>
      <c r="K32" s="1071"/>
      <c r="L32" s="1055">
        <f>Fertilisation!W238</f>
        <v>4</v>
      </c>
      <c r="M32" s="1056"/>
      <c r="N32" s="22"/>
      <c r="P32" s="21"/>
      <c r="Q32" s="107" t="s">
        <v>384</v>
      </c>
      <c r="R32" s="107"/>
      <c r="S32" s="107"/>
      <c r="T32" s="107"/>
      <c r="U32" s="107"/>
      <c r="V32" s="107"/>
      <c r="W32" s="107"/>
      <c r="X32" s="1065">
        <f>Irrigation!M184</f>
        <v>0</v>
      </c>
      <c r="Y32" s="1066"/>
      <c r="Z32" s="1053">
        <f>Irrigation!W184</f>
        <v>5</v>
      </c>
      <c r="AA32" s="1054"/>
      <c r="AB32" s="22"/>
    </row>
    <row r="33" spans="2:28" x14ac:dyDescent="0.25">
      <c r="B33" s="21"/>
      <c r="C33" s="107" t="s">
        <v>353</v>
      </c>
      <c r="D33" s="107"/>
      <c r="E33" s="107"/>
      <c r="F33" s="107"/>
      <c r="G33" s="107"/>
      <c r="H33" s="107"/>
      <c r="I33" s="107"/>
      <c r="J33" s="1070">
        <f>Fertilisation!Q295</f>
        <v>0</v>
      </c>
      <c r="K33" s="1071"/>
      <c r="L33" s="1055">
        <f>Fertilisation!W295</f>
        <v>4</v>
      </c>
      <c r="M33" s="1056"/>
      <c r="N33" s="22"/>
      <c r="P33" s="21"/>
      <c r="Q33" s="107" t="s">
        <v>333</v>
      </c>
      <c r="R33" s="107"/>
      <c r="S33" s="107"/>
      <c r="T33" s="107"/>
      <c r="U33" s="107"/>
      <c r="V33" s="107"/>
      <c r="W33" s="107"/>
      <c r="X33" s="1065">
        <f>Irrigation!N213</f>
        <v>0</v>
      </c>
      <c r="Y33" s="1066"/>
      <c r="Z33" s="1053">
        <f>Irrigation!W213</f>
        <v>0</v>
      </c>
      <c r="AA33" s="1054"/>
      <c r="AB33" s="22"/>
    </row>
    <row r="34" spans="2:28" x14ac:dyDescent="0.25">
      <c r="B34" s="21"/>
      <c r="C34" s="107" t="s">
        <v>2448</v>
      </c>
      <c r="D34" s="107"/>
      <c r="E34" s="107"/>
      <c r="F34" s="107"/>
      <c r="G34" s="107"/>
      <c r="H34" s="107"/>
      <c r="I34" s="107"/>
      <c r="J34" s="1070">
        <f>Fertilisation!$Q$320</f>
        <v>0</v>
      </c>
      <c r="K34" s="1071"/>
      <c r="L34" s="1055">
        <f>Fertilisation!W320</f>
        <v>0</v>
      </c>
      <c r="M34" s="1056"/>
      <c r="N34" s="22"/>
      <c r="P34" s="21"/>
      <c r="Q34" s="107" t="s">
        <v>388</v>
      </c>
      <c r="R34" s="107"/>
      <c r="S34" s="107"/>
      <c r="T34" s="107"/>
      <c r="U34" s="107"/>
      <c r="V34" s="107"/>
      <c r="W34" s="107"/>
      <c r="X34" s="1065">
        <f>Irrigation!P236</f>
        <v>0</v>
      </c>
      <c r="Y34" s="1066"/>
      <c r="Z34" s="1053">
        <f>Irrigation!W236</f>
        <v>0</v>
      </c>
      <c r="AA34" s="1054"/>
      <c r="AB34" s="22"/>
    </row>
    <row r="35" spans="2:28" x14ac:dyDescent="0.25">
      <c r="B35" s="21"/>
      <c r="C35" s="107" t="s">
        <v>333</v>
      </c>
      <c r="D35" s="107"/>
      <c r="E35" s="107"/>
      <c r="F35" s="107"/>
      <c r="G35" s="107"/>
      <c r="H35" s="107"/>
      <c r="I35" s="107"/>
      <c r="J35" s="1070">
        <f>Fertilisation!N348</f>
        <v>0</v>
      </c>
      <c r="K35" s="1071"/>
      <c r="L35" s="1055">
        <f>Fertilisation!W348</f>
        <v>0</v>
      </c>
      <c r="M35" s="1056"/>
      <c r="N35" s="22"/>
      <c r="P35" s="21"/>
      <c r="Q35" s="130"/>
      <c r="R35" s="130"/>
      <c r="S35" s="130"/>
      <c r="T35" s="130"/>
      <c r="U35" s="130"/>
      <c r="V35" s="130"/>
      <c r="W35" s="130"/>
      <c r="X35" s="1063"/>
      <c r="Y35" s="1063"/>
      <c r="Z35" s="144"/>
      <c r="AA35" s="144"/>
      <c r="AB35" s="22"/>
    </row>
    <row r="36" spans="2:28" x14ac:dyDescent="0.25">
      <c r="B36" s="21"/>
      <c r="C36" s="130"/>
      <c r="D36" s="130"/>
      <c r="E36" s="130"/>
      <c r="F36" s="130"/>
      <c r="G36" s="130"/>
      <c r="H36" s="130"/>
      <c r="I36" s="130"/>
      <c r="J36" s="1063"/>
      <c r="K36" s="1063"/>
      <c r="L36" s="144"/>
      <c r="M36" s="144"/>
      <c r="N36" s="22"/>
      <c r="P36" s="21"/>
      <c r="Q36" s="70"/>
      <c r="R36" s="70"/>
      <c r="S36" s="70"/>
      <c r="T36" s="70"/>
      <c r="U36" s="70"/>
      <c r="V36" s="70"/>
      <c r="W36" s="70"/>
      <c r="X36" s="1067"/>
      <c r="Y36" s="1067"/>
      <c r="Z36" s="144"/>
      <c r="AA36" s="144"/>
      <c r="AB36" s="22"/>
    </row>
    <row r="37" spans="2:28" x14ac:dyDescent="0.25">
      <c r="B37" s="21"/>
      <c r="C37" s="6"/>
      <c r="D37" s="6"/>
      <c r="E37" s="6"/>
      <c r="F37" s="6"/>
      <c r="G37" s="6"/>
      <c r="H37" s="857" t="s">
        <v>276</v>
      </c>
      <c r="I37" s="857"/>
      <c r="J37" s="1061">
        <f>SUM(J27:K35)</f>
        <v>0</v>
      </c>
      <c r="K37" s="1061"/>
      <c r="L37" s="1061">
        <f>SUM(L27:M35)</f>
        <v>33</v>
      </c>
      <c r="M37" s="1061"/>
      <c r="N37" s="22"/>
      <c r="P37" s="21"/>
      <c r="Q37" s="6"/>
      <c r="R37" s="6"/>
      <c r="S37" s="6"/>
      <c r="T37" s="6"/>
      <c r="U37" s="6"/>
      <c r="V37" s="857" t="s">
        <v>276</v>
      </c>
      <c r="W37" s="857"/>
      <c r="X37" s="1052">
        <f>IF(cIrriguante="Non","Sans objet",SUM(X27:Y36))</f>
        <v>0</v>
      </c>
      <c r="Y37" s="1052"/>
      <c r="Z37" s="1052">
        <f>IF(cIrriguante="Non","Sans objet",SUM(Z27:AA34))</f>
        <v>27</v>
      </c>
      <c r="AA37" s="1052"/>
      <c r="AB37" s="22"/>
    </row>
    <row r="38" spans="2:28" ht="15.75" thickBot="1" x14ac:dyDescent="0.3">
      <c r="B38" s="24"/>
      <c r="C38" s="25"/>
      <c r="D38" s="25"/>
      <c r="E38" s="25"/>
      <c r="F38" s="25"/>
      <c r="G38" s="25"/>
      <c r="H38" s="25"/>
      <c r="I38" s="25"/>
      <c r="J38" s="25"/>
      <c r="K38" s="25"/>
      <c r="L38" s="25"/>
      <c r="M38" s="25"/>
      <c r="N38" s="26"/>
      <c r="P38" s="24"/>
      <c r="Q38" s="25"/>
      <c r="R38" s="25"/>
      <c r="S38" s="25"/>
      <c r="T38" s="25"/>
      <c r="U38" s="25"/>
      <c r="V38" s="25"/>
      <c r="W38" s="25"/>
      <c r="X38" s="25"/>
      <c r="Y38" s="25"/>
      <c r="Z38" s="25"/>
      <c r="AA38" s="25"/>
      <c r="AB38" s="26"/>
    </row>
    <row r="41" spans="2:28" ht="15.75" thickBot="1" x14ac:dyDescent="0.3"/>
    <row r="42" spans="2:28" ht="15" customHeight="1" x14ac:dyDescent="0.25">
      <c r="B42" s="18"/>
      <c r="C42" s="19"/>
      <c r="D42" s="19"/>
      <c r="E42" s="19"/>
      <c r="F42" s="19"/>
      <c r="G42" s="19"/>
      <c r="H42" s="19"/>
      <c r="I42" s="19"/>
      <c r="J42" s="19"/>
      <c r="K42" s="19"/>
      <c r="L42" s="19"/>
      <c r="M42" s="19"/>
      <c r="N42" s="20"/>
      <c r="P42" s="1062" t="str">
        <f>IF(cCMR1=0,"Résultats non conformes au référentiel",IF(COUNTIF(L44:L47,"OK")=4,"Résultats conformes au référentiel","Résultats non conformes au référentiel"))</f>
        <v>Résultats non conformes au référentiel</v>
      </c>
      <c r="Q42" s="1062"/>
      <c r="R42" s="1062"/>
      <c r="S42" s="1062"/>
      <c r="T42" s="1062"/>
      <c r="U42" s="1062"/>
      <c r="V42" s="1062"/>
      <c r="W42" s="1062"/>
      <c r="X42" s="1062"/>
      <c r="Y42" s="1062"/>
      <c r="Z42" s="1062"/>
      <c r="AA42" s="1062"/>
      <c r="AB42" s="1062"/>
    </row>
    <row r="43" spans="2:28" ht="15" customHeight="1" x14ac:dyDescent="0.25">
      <c r="B43" s="21"/>
      <c r="C43" s="6"/>
      <c r="D43" s="6"/>
      <c r="E43" s="6"/>
      <c r="F43" s="6"/>
      <c r="G43" s="6"/>
      <c r="H43" s="6"/>
      <c r="I43" s="6"/>
      <c r="J43" s="6"/>
      <c r="K43" s="6"/>
      <c r="L43" s="245"/>
      <c r="M43" s="6"/>
      <c r="N43" s="22"/>
      <c r="P43" s="1062"/>
      <c r="Q43" s="1062"/>
      <c r="R43" s="1062"/>
      <c r="S43" s="1062"/>
      <c r="T43" s="1062"/>
      <c r="U43" s="1062"/>
      <c r="V43" s="1062"/>
      <c r="W43" s="1062"/>
      <c r="X43" s="1062"/>
      <c r="Y43" s="1062"/>
      <c r="Z43" s="1062"/>
      <c r="AA43" s="1062"/>
      <c r="AB43" s="1062"/>
    </row>
    <row r="44" spans="2:28" x14ac:dyDescent="0.25">
      <c r="B44" s="21"/>
      <c r="C44" s="43" t="s">
        <v>627</v>
      </c>
      <c r="D44" s="43"/>
      <c r="E44" s="43"/>
      <c r="F44" s="43"/>
      <c r="G44" s="43"/>
      <c r="H44" s="43"/>
      <c r="I44" s="133"/>
      <c r="J44" s="1068">
        <f>J20</f>
        <v>0</v>
      </c>
      <c r="K44" s="1069"/>
      <c r="L44" s="246" t="str">
        <f>IF(J44&gt;=10,"OK","KO")</f>
        <v>KO</v>
      </c>
      <c r="M44" s="143"/>
      <c r="N44" s="22"/>
      <c r="P44" s="1062"/>
      <c r="Q44" s="1062"/>
      <c r="R44" s="1062"/>
      <c r="S44" s="1062"/>
      <c r="T44" s="1062"/>
      <c r="U44" s="1062"/>
      <c r="V44" s="1062"/>
      <c r="W44" s="1062"/>
      <c r="X44" s="1062"/>
      <c r="Y44" s="1062"/>
      <c r="Z44" s="1062"/>
      <c r="AA44" s="1062"/>
      <c r="AB44" s="1062"/>
    </row>
    <row r="45" spans="2:28" x14ac:dyDescent="0.25">
      <c r="B45" s="21"/>
      <c r="C45" s="100" t="s">
        <v>625</v>
      </c>
      <c r="D45" s="100"/>
      <c r="E45" s="100"/>
      <c r="F45" s="100"/>
      <c r="G45" s="100"/>
      <c r="H45" s="100"/>
      <c r="I45" s="101"/>
      <c r="J45" s="1068">
        <f>X20</f>
        <v>0</v>
      </c>
      <c r="K45" s="1069"/>
      <c r="L45" s="246" t="str">
        <f>IF(cCMR1=0,"KO",IF(J45&gt;=10,"OK","KO"))</f>
        <v>KO</v>
      </c>
      <c r="M45" s="143"/>
      <c r="N45" s="22"/>
      <c r="P45" s="1062"/>
      <c r="Q45" s="1062"/>
      <c r="R45" s="1062"/>
      <c r="S45" s="1062"/>
      <c r="T45" s="1062"/>
      <c r="U45" s="1062"/>
      <c r="V45" s="1062"/>
      <c r="W45" s="1062"/>
      <c r="X45" s="1062"/>
      <c r="Y45" s="1062"/>
      <c r="Z45" s="1062"/>
      <c r="AA45" s="1062"/>
      <c r="AB45" s="1062"/>
    </row>
    <row r="46" spans="2:28" x14ac:dyDescent="0.25">
      <c r="B46" s="21"/>
      <c r="C46" s="100" t="s">
        <v>626</v>
      </c>
      <c r="D46" s="100"/>
      <c r="E46" s="100"/>
      <c r="F46" s="100"/>
      <c r="G46" s="100"/>
      <c r="H46" s="100"/>
      <c r="I46" s="101"/>
      <c r="J46" s="1068">
        <f>J37</f>
        <v>0</v>
      </c>
      <c r="K46" s="1069"/>
      <c r="L46" s="246" t="str">
        <f t="shared" ref="L46" si="0">IF(J46&gt;=10,"OK","KO")</f>
        <v>KO</v>
      </c>
      <c r="M46" s="143"/>
      <c r="N46" s="22"/>
      <c r="P46" s="1062"/>
      <c r="Q46" s="1062"/>
      <c r="R46" s="1062"/>
      <c r="S46" s="1062"/>
      <c r="T46" s="1062"/>
      <c r="U46" s="1062"/>
      <c r="V46" s="1062"/>
      <c r="W46" s="1062"/>
      <c r="X46" s="1062"/>
      <c r="Y46" s="1062"/>
      <c r="Z46" s="1062"/>
      <c r="AA46" s="1062"/>
      <c r="AB46" s="1062"/>
    </row>
    <row r="47" spans="2:28" x14ac:dyDescent="0.25">
      <c r="B47" s="21"/>
      <c r="C47" s="100" t="s">
        <v>628</v>
      </c>
      <c r="D47" s="100"/>
      <c r="E47" s="100"/>
      <c r="F47" s="100"/>
      <c r="G47" s="100"/>
      <c r="H47" s="100"/>
      <c r="I47" s="101"/>
      <c r="J47" s="1068">
        <f>X37</f>
        <v>0</v>
      </c>
      <c r="K47" s="1069"/>
      <c r="L47" s="246" t="str">
        <f>IF(OR(J47&gt;=10,J47="Sans objet"),"OK","KO")</f>
        <v>KO</v>
      </c>
      <c r="M47" s="143"/>
      <c r="N47" s="22"/>
      <c r="P47" s="1062"/>
      <c r="Q47" s="1062"/>
      <c r="R47" s="1062"/>
      <c r="S47" s="1062"/>
      <c r="T47" s="1062"/>
      <c r="U47" s="1062"/>
      <c r="V47" s="1062"/>
      <c r="W47" s="1062"/>
      <c r="X47" s="1062"/>
      <c r="Y47" s="1062"/>
      <c r="Z47" s="1062"/>
      <c r="AA47" s="1062"/>
      <c r="AB47" s="1062"/>
    </row>
    <row r="48" spans="2:28" ht="15.75" thickBot="1" x14ac:dyDescent="0.3">
      <c r="B48" s="24"/>
      <c r="C48" s="25"/>
      <c r="D48" s="25"/>
      <c r="E48" s="25"/>
      <c r="F48" s="25"/>
      <c r="G48" s="25"/>
      <c r="H48" s="25"/>
      <c r="I48" s="25"/>
      <c r="J48" s="25"/>
      <c r="K48" s="25"/>
      <c r="L48" s="25"/>
      <c r="M48" s="25"/>
      <c r="N48" s="26"/>
      <c r="P48" s="1062"/>
      <c r="Q48" s="1062"/>
      <c r="R48" s="1062"/>
      <c r="S48" s="1062"/>
      <c r="T48" s="1062"/>
      <c r="U48" s="1062"/>
      <c r="V48" s="1062"/>
      <c r="W48" s="1062"/>
      <c r="X48" s="1062"/>
      <c r="Y48" s="1062"/>
      <c r="Z48" s="1062"/>
      <c r="AA48" s="1062"/>
      <c r="AB48" s="1062"/>
    </row>
    <row r="50" spans="2:28" ht="15.75" thickBot="1" x14ac:dyDescent="0.3"/>
    <row r="51" spans="2:28" x14ac:dyDescent="0.25">
      <c r="B51" s="10"/>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2"/>
    </row>
    <row r="52" spans="2:28" x14ac:dyDescent="0.25">
      <c r="B52" s="13"/>
      <c r="C52" s="6"/>
      <c r="D52" s="6"/>
      <c r="E52" s="6"/>
      <c r="F52" s="6"/>
      <c r="G52" s="6"/>
      <c r="H52" s="6"/>
      <c r="I52" s="6"/>
      <c r="J52" s="6"/>
      <c r="K52" s="6"/>
      <c r="L52" s="6"/>
      <c r="M52" s="6"/>
      <c r="N52" s="6"/>
      <c r="O52" s="6"/>
      <c r="P52" s="6"/>
      <c r="Q52" s="6"/>
      <c r="R52" s="6"/>
      <c r="S52" s="6"/>
      <c r="T52" s="6"/>
      <c r="U52" s="6"/>
      <c r="V52" s="6"/>
      <c r="W52" s="6"/>
      <c r="X52" s="6"/>
      <c r="Y52" s="6"/>
      <c r="Z52" s="6"/>
      <c r="AA52" s="6"/>
      <c r="AB52" s="14"/>
    </row>
    <row r="53" spans="2:28" x14ac:dyDescent="0.25">
      <c r="B53" s="13"/>
      <c r="C53" s="6"/>
      <c r="D53" s="6"/>
      <c r="E53" s="6"/>
      <c r="F53" s="6"/>
      <c r="G53" s="6"/>
      <c r="H53" s="6"/>
      <c r="I53" s="6"/>
      <c r="J53" s="6"/>
      <c r="K53" s="6"/>
      <c r="L53" s="6"/>
      <c r="M53" s="6"/>
      <c r="N53" s="6"/>
      <c r="O53" s="6"/>
      <c r="P53" s="6"/>
      <c r="Q53" s="6"/>
      <c r="R53" s="6"/>
      <c r="S53" s="6"/>
      <c r="T53" s="6"/>
      <c r="U53" s="6"/>
      <c r="V53" s="6"/>
      <c r="W53" s="6"/>
      <c r="X53" s="6"/>
      <c r="Y53" s="6"/>
      <c r="Z53" s="6"/>
      <c r="AA53" s="6"/>
      <c r="AB53" s="14"/>
    </row>
    <row r="54" spans="2:28" x14ac:dyDescent="0.25">
      <c r="B54" s="13"/>
      <c r="C54" s="6"/>
      <c r="D54" s="6"/>
      <c r="E54" s="6"/>
      <c r="F54" s="6"/>
      <c r="G54" s="6"/>
      <c r="H54" s="6"/>
      <c r="I54" s="6"/>
      <c r="J54" s="6"/>
      <c r="K54" s="6"/>
      <c r="L54" s="6"/>
      <c r="M54" s="6"/>
      <c r="N54" s="6"/>
      <c r="O54" s="6"/>
      <c r="P54" s="6"/>
      <c r="Q54" s="6"/>
      <c r="R54" s="6"/>
      <c r="S54" s="6"/>
      <c r="T54" s="6"/>
      <c r="U54" s="6"/>
      <c r="V54" s="6"/>
      <c r="W54" s="6"/>
      <c r="X54" s="6"/>
      <c r="Y54" s="6"/>
      <c r="Z54" s="6"/>
      <c r="AA54" s="6"/>
      <c r="AB54" s="14"/>
    </row>
    <row r="55" spans="2:28" x14ac:dyDescent="0.25">
      <c r="B55" s="13"/>
      <c r="C55" s="46" t="s">
        <v>2546</v>
      </c>
      <c r="D55" s="1076"/>
      <c r="E55" s="1077"/>
      <c r="F55" s="6"/>
      <c r="I55" s="6"/>
      <c r="J55" s="6"/>
      <c r="K55" s="6"/>
      <c r="L55" s="6"/>
      <c r="M55" s="6"/>
      <c r="N55" s="6"/>
      <c r="O55" s="6"/>
      <c r="P55" s="6"/>
      <c r="Q55" s="6"/>
      <c r="R55" s="6"/>
      <c r="S55" s="6"/>
      <c r="T55" s="6"/>
      <c r="U55" s="6"/>
      <c r="V55" s="6"/>
      <c r="W55" s="6"/>
      <c r="X55" s="6"/>
      <c r="Y55" s="6"/>
      <c r="Z55" s="6"/>
      <c r="AA55" s="6"/>
      <c r="AB55" s="14"/>
    </row>
    <row r="56" spans="2:28" x14ac:dyDescent="0.25">
      <c r="B56" s="13"/>
      <c r="C56" s="6"/>
      <c r="D56" s="6"/>
      <c r="E56" s="6"/>
      <c r="F56" s="6"/>
      <c r="G56" s="6"/>
      <c r="H56" s="6"/>
      <c r="I56" s="6"/>
      <c r="J56" s="6"/>
      <c r="K56" s="6"/>
      <c r="L56" s="6"/>
      <c r="M56" s="6"/>
      <c r="N56" s="6"/>
      <c r="O56" s="6"/>
      <c r="P56" s="6"/>
      <c r="Q56" s="6"/>
      <c r="R56" s="6"/>
      <c r="S56" s="6"/>
      <c r="T56" s="6"/>
      <c r="U56" s="6"/>
      <c r="V56" s="6"/>
      <c r="W56" s="6"/>
      <c r="X56" s="6"/>
      <c r="Y56" s="6"/>
      <c r="Z56" s="6"/>
      <c r="AA56" s="6"/>
      <c r="AB56" s="14"/>
    </row>
    <row r="57" spans="2:28" x14ac:dyDescent="0.25">
      <c r="B57" s="13"/>
      <c r="C57" s="46" t="s">
        <v>2864</v>
      </c>
      <c r="D57" s="6"/>
      <c r="E57" s="6"/>
      <c r="F57" s="6" t="str">
        <f>IF(ISBLANK(Identification!F18),"",Identification!F18&amp; " ("&amp;Identification!F16&amp;")")</f>
        <v/>
      </c>
      <c r="G57" s="6"/>
      <c r="H57" s="6"/>
      <c r="I57" s="6"/>
      <c r="J57" s="6"/>
      <c r="K57" s="6"/>
      <c r="L57" s="6"/>
      <c r="M57" s="6"/>
      <c r="N57" s="6"/>
      <c r="O57" s="6"/>
      <c r="P57" s="46" t="s">
        <v>2865</v>
      </c>
      <c r="Q57" s="6"/>
      <c r="R57" s="6"/>
      <c r="S57" s="6" t="str">
        <f>IF(ISBLANK(Identification!F32),"",Identification!F32)</f>
        <v/>
      </c>
      <c r="T57" s="6"/>
      <c r="U57" s="6"/>
      <c r="V57" s="6"/>
      <c r="W57" s="6"/>
      <c r="X57" s="6"/>
      <c r="Y57" s="6"/>
      <c r="Z57" s="6"/>
      <c r="AA57" s="6"/>
      <c r="AB57" s="14"/>
    </row>
    <row r="58" spans="2:28" x14ac:dyDescent="0.25">
      <c r="B58" s="13"/>
      <c r="C58" s="732"/>
      <c r="D58" s="733"/>
      <c r="E58" s="733"/>
      <c r="F58" s="733"/>
      <c r="G58" s="733"/>
      <c r="H58" s="733"/>
      <c r="I58" s="733"/>
      <c r="J58" s="733"/>
      <c r="K58" s="733"/>
      <c r="L58" s="733"/>
      <c r="M58" s="733"/>
      <c r="N58" s="734"/>
      <c r="O58" s="6"/>
      <c r="P58" s="732"/>
      <c r="Q58" s="733"/>
      <c r="R58" s="733"/>
      <c r="S58" s="733"/>
      <c r="T58" s="733"/>
      <c r="U58" s="733"/>
      <c r="V58" s="733"/>
      <c r="W58" s="733"/>
      <c r="X58" s="733"/>
      <c r="Y58" s="733"/>
      <c r="Z58" s="733"/>
      <c r="AA58" s="734"/>
      <c r="AB58" s="14"/>
    </row>
    <row r="59" spans="2:28" x14ac:dyDescent="0.25">
      <c r="B59" s="13"/>
      <c r="C59" s="735"/>
      <c r="D59" s="736"/>
      <c r="E59" s="736"/>
      <c r="F59" s="736"/>
      <c r="G59" s="736"/>
      <c r="H59" s="736"/>
      <c r="I59" s="736"/>
      <c r="J59" s="736"/>
      <c r="K59" s="736"/>
      <c r="L59" s="736"/>
      <c r="M59" s="736"/>
      <c r="N59" s="737"/>
      <c r="O59" s="6"/>
      <c r="P59" s="735"/>
      <c r="Q59" s="736"/>
      <c r="R59" s="736"/>
      <c r="S59" s="736"/>
      <c r="T59" s="736"/>
      <c r="U59" s="736"/>
      <c r="V59" s="736"/>
      <c r="W59" s="736"/>
      <c r="X59" s="736"/>
      <c r="Y59" s="736"/>
      <c r="Z59" s="736"/>
      <c r="AA59" s="737"/>
      <c r="AB59" s="14"/>
    </row>
    <row r="60" spans="2:28" s="499" customFormat="1" x14ac:dyDescent="0.25">
      <c r="B60" s="13"/>
      <c r="C60" s="735"/>
      <c r="D60" s="736"/>
      <c r="E60" s="736"/>
      <c r="F60" s="736"/>
      <c r="G60" s="736"/>
      <c r="H60" s="736"/>
      <c r="I60" s="736"/>
      <c r="J60" s="736"/>
      <c r="K60" s="736"/>
      <c r="L60" s="736"/>
      <c r="M60" s="736"/>
      <c r="N60" s="737"/>
      <c r="O60" s="6"/>
      <c r="P60" s="735"/>
      <c r="Q60" s="736"/>
      <c r="R60" s="736"/>
      <c r="S60" s="736"/>
      <c r="T60" s="736"/>
      <c r="U60" s="736"/>
      <c r="V60" s="736"/>
      <c r="W60" s="736"/>
      <c r="X60" s="736"/>
      <c r="Y60" s="736"/>
      <c r="Z60" s="736"/>
      <c r="AA60" s="737"/>
      <c r="AB60" s="14"/>
    </row>
    <row r="61" spans="2:28" s="499" customFormat="1" x14ac:dyDescent="0.25">
      <c r="B61" s="13"/>
      <c r="C61" s="735"/>
      <c r="D61" s="736"/>
      <c r="E61" s="736"/>
      <c r="F61" s="736"/>
      <c r="G61" s="736"/>
      <c r="H61" s="736"/>
      <c r="I61" s="736"/>
      <c r="J61" s="736"/>
      <c r="K61" s="736"/>
      <c r="L61" s="736"/>
      <c r="M61" s="736"/>
      <c r="N61" s="737"/>
      <c r="O61" s="6"/>
      <c r="P61" s="735"/>
      <c r="Q61" s="736"/>
      <c r="R61" s="736"/>
      <c r="S61" s="736"/>
      <c r="T61" s="736"/>
      <c r="U61" s="736"/>
      <c r="V61" s="736"/>
      <c r="W61" s="736"/>
      <c r="X61" s="736"/>
      <c r="Y61" s="736"/>
      <c r="Z61" s="736"/>
      <c r="AA61" s="737"/>
      <c r="AB61" s="14"/>
    </row>
    <row r="62" spans="2:28" s="499" customFormat="1" x14ac:dyDescent="0.25">
      <c r="B62" s="13"/>
      <c r="C62" s="735"/>
      <c r="D62" s="736"/>
      <c r="E62" s="736"/>
      <c r="F62" s="736"/>
      <c r="G62" s="736"/>
      <c r="H62" s="736"/>
      <c r="I62" s="736"/>
      <c r="J62" s="736"/>
      <c r="K62" s="736"/>
      <c r="L62" s="736"/>
      <c r="M62" s="736"/>
      <c r="N62" s="737"/>
      <c r="O62" s="6"/>
      <c r="P62" s="735"/>
      <c r="Q62" s="736"/>
      <c r="R62" s="736"/>
      <c r="S62" s="736"/>
      <c r="T62" s="736"/>
      <c r="U62" s="736"/>
      <c r="V62" s="736"/>
      <c r="W62" s="736"/>
      <c r="X62" s="736"/>
      <c r="Y62" s="736"/>
      <c r="Z62" s="736"/>
      <c r="AA62" s="737"/>
      <c r="AB62" s="14"/>
    </row>
    <row r="63" spans="2:28" s="499" customFormat="1" x14ac:dyDescent="0.25">
      <c r="B63" s="13"/>
      <c r="C63" s="735"/>
      <c r="D63" s="736"/>
      <c r="E63" s="736"/>
      <c r="F63" s="736"/>
      <c r="G63" s="736"/>
      <c r="H63" s="736"/>
      <c r="I63" s="736"/>
      <c r="J63" s="736"/>
      <c r="K63" s="736"/>
      <c r="L63" s="736"/>
      <c r="M63" s="736"/>
      <c r="N63" s="737"/>
      <c r="O63" s="6"/>
      <c r="P63" s="735"/>
      <c r="Q63" s="736"/>
      <c r="R63" s="736"/>
      <c r="S63" s="736"/>
      <c r="T63" s="736"/>
      <c r="U63" s="736"/>
      <c r="V63" s="736"/>
      <c r="W63" s="736"/>
      <c r="X63" s="736"/>
      <c r="Y63" s="736"/>
      <c r="Z63" s="736"/>
      <c r="AA63" s="737"/>
      <c r="AB63" s="14"/>
    </row>
    <row r="64" spans="2:28" s="499" customFormat="1" x14ac:dyDescent="0.25">
      <c r="B64" s="13"/>
      <c r="C64" s="735"/>
      <c r="D64" s="736"/>
      <c r="E64" s="736"/>
      <c r="F64" s="736"/>
      <c r="G64" s="736"/>
      <c r="H64" s="736"/>
      <c r="I64" s="736"/>
      <c r="J64" s="736"/>
      <c r="K64" s="736"/>
      <c r="L64" s="736"/>
      <c r="M64" s="736"/>
      <c r="N64" s="737"/>
      <c r="O64" s="6"/>
      <c r="P64" s="735"/>
      <c r="Q64" s="736"/>
      <c r="R64" s="736"/>
      <c r="S64" s="736"/>
      <c r="T64" s="736"/>
      <c r="U64" s="736"/>
      <c r="V64" s="736"/>
      <c r="W64" s="736"/>
      <c r="X64" s="736"/>
      <c r="Y64" s="736"/>
      <c r="Z64" s="736"/>
      <c r="AA64" s="737"/>
      <c r="AB64" s="14"/>
    </row>
    <row r="65" spans="2:28" x14ac:dyDescent="0.25">
      <c r="B65" s="13"/>
      <c r="C65" s="735"/>
      <c r="D65" s="736"/>
      <c r="E65" s="736"/>
      <c r="F65" s="736"/>
      <c r="G65" s="736"/>
      <c r="H65" s="736"/>
      <c r="I65" s="736"/>
      <c r="J65" s="736"/>
      <c r="K65" s="736"/>
      <c r="L65" s="736"/>
      <c r="M65" s="736"/>
      <c r="N65" s="737"/>
      <c r="O65" s="6"/>
      <c r="P65" s="735"/>
      <c r="Q65" s="736"/>
      <c r="R65" s="736"/>
      <c r="S65" s="736"/>
      <c r="T65" s="736"/>
      <c r="U65" s="736"/>
      <c r="V65" s="736"/>
      <c r="W65" s="736"/>
      <c r="X65" s="736"/>
      <c r="Y65" s="736"/>
      <c r="Z65" s="736"/>
      <c r="AA65" s="737"/>
      <c r="AB65" s="14"/>
    </row>
    <row r="66" spans="2:28" x14ac:dyDescent="0.25">
      <c r="B66" s="13"/>
      <c r="C66" s="735"/>
      <c r="D66" s="736"/>
      <c r="E66" s="736"/>
      <c r="F66" s="736"/>
      <c r="G66" s="736"/>
      <c r="H66" s="736"/>
      <c r="I66" s="736"/>
      <c r="J66" s="736"/>
      <c r="K66" s="736"/>
      <c r="L66" s="736"/>
      <c r="M66" s="736"/>
      <c r="N66" s="737"/>
      <c r="O66" s="6"/>
      <c r="P66" s="735"/>
      <c r="Q66" s="736"/>
      <c r="R66" s="736"/>
      <c r="S66" s="736"/>
      <c r="T66" s="736"/>
      <c r="U66" s="736"/>
      <c r="V66" s="736"/>
      <c r="W66" s="736"/>
      <c r="X66" s="736"/>
      <c r="Y66" s="736"/>
      <c r="Z66" s="736"/>
      <c r="AA66" s="737"/>
      <c r="AB66" s="14"/>
    </row>
    <row r="67" spans="2:28" x14ac:dyDescent="0.25">
      <c r="B67" s="13"/>
      <c r="C67" s="738"/>
      <c r="D67" s="739"/>
      <c r="E67" s="739"/>
      <c r="F67" s="739"/>
      <c r="G67" s="739"/>
      <c r="H67" s="739"/>
      <c r="I67" s="739"/>
      <c r="J67" s="739"/>
      <c r="K67" s="739"/>
      <c r="L67" s="739"/>
      <c r="M67" s="739"/>
      <c r="N67" s="740"/>
      <c r="O67" s="6"/>
      <c r="P67" s="738"/>
      <c r="Q67" s="739"/>
      <c r="R67" s="739"/>
      <c r="S67" s="739"/>
      <c r="T67" s="739"/>
      <c r="U67" s="739"/>
      <c r="V67" s="739"/>
      <c r="W67" s="739"/>
      <c r="X67" s="739"/>
      <c r="Y67" s="739"/>
      <c r="Z67" s="739"/>
      <c r="AA67" s="740"/>
      <c r="AB67" s="14"/>
    </row>
    <row r="68" spans="2:28" x14ac:dyDescent="0.25">
      <c r="B68" s="13"/>
      <c r="C68" s="6"/>
      <c r="D68" s="6"/>
      <c r="E68" s="6"/>
      <c r="F68" s="6"/>
      <c r="G68" s="6"/>
      <c r="H68" s="6"/>
      <c r="I68" s="6"/>
      <c r="J68" s="6"/>
      <c r="K68" s="6"/>
      <c r="L68" s="6"/>
      <c r="M68" s="6"/>
      <c r="N68" s="6"/>
      <c r="O68" s="6"/>
      <c r="P68" s="6"/>
      <c r="Q68" s="6"/>
      <c r="R68" s="6"/>
      <c r="S68" s="6"/>
      <c r="T68" s="6"/>
      <c r="U68" s="6"/>
      <c r="V68" s="6"/>
      <c r="W68" s="6"/>
      <c r="X68" s="6"/>
      <c r="Y68" s="6"/>
      <c r="Z68" s="6"/>
      <c r="AA68" s="6"/>
      <c r="AB68" s="14"/>
    </row>
    <row r="69" spans="2:28" x14ac:dyDescent="0.25">
      <c r="B69" s="13"/>
      <c r="C69" s="46" t="s">
        <v>2867</v>
      </c>
      <c r="D69" s="6"/>
      <c r="E69" s="6"/>
      <c r="F69" s="6" t="str">
        <f>IF(ISBLANK(Identification!F18),"",Identification!F18&amp; " ("&amp;Identification!F16&amp;")")</f>
        <v/>
      </c>
      <c r="G69" s="6"/>
      <c r="H69" s="6"/>
      <c r="I69" s="6"/>
      <c r="J69" s="6"/>
      <c r="K69" s="6"/>
      <c r="L69" s="6"/>
      <c r="O69" s="6"/>
      <c r="P69" s="46" t="s">
        <v>2868</v>
      </c>
      <c r="Q69" s="6"/>
      <c r="R69" s="6"/>
      <c r="S69" s="6" t="str">
        <f>IF(ISBLANK(Identification!F32),"",Identification!F32)</f>
        <v/>
      </c>
      <c r="T69" s="6"/>
      <c r="U69" s="6"/>
      <c r="V69" s="6"/>
      <c r="W69" s="6"/>
      <c r="X69" s="6"/>
      <c r="Y69" s="6"/>
      <c r="Z69" s="6"/>
      <c r="AA69" s="6"/>
      <c r="AB69" s="14"/>
    </row>
    <row r="70" spans="2:28" x14ac:dyDescent="0.25">
      <c r="B70" s="13"/>
      <c r="C70" s="523"/>
      <c r="D70" s="524"/>
      <c r="E70" s="524"/>
      <c r="F70" s="524"/>
      <c r="G70" s="524"/>
      <c r="H70" s="525"/>
      <c r="I70" s="488"/>
      <c r="J70" s="6"/>
      <c r="K70" s="6"/>
      <c r="L70" s="6"/>
      <c r="O70" s="6"/>
      <c r="P70" s="523"/>
      <c r="Q70" s="524"/>
      <c r="R70" s="524"/>
      <c r="S70" s="524"/>
      <c r="T70" s="524"/>
      <c r="U70" s="525"/>
      <c r="V70" s="488"/>
      <c r="W70" s="6"/>
      <c r="X70" s="6"/>
      <c r="Y70" s="6"/>
      <c r="Z70" s="6"/>
      <c r="AA70" s="6"/>
      <c r="AB70" s="14"/>
    </row>
    <row r="71" spans="2:28" x14ac:dyDescent="0.25">
      <c r="B71" s="13"/>
      <c r="C71" s="526"/>
      <c r="D71" s="527"/>
      <c r="E71" s="527"/>
      <c r="F71" s="527"/>
      <c r="G71" s="527"/>
      <c r="H71" s="528"/>
      <c r="I71" s="488"/>
      <c r="J71" s="6"/>
      <c r="K71" s="6"/>
      <c r="L71" s="6"/>
      <c r="O71" s="6"/>
      <c r="P71" s="526"/>
      <c r="Q71" s="527"/>
      <c r="R71" s="527"/>
      <c r="S71" s="527"/>
      <c r="T71" s="527"/>
      <c r="U71" s="528"/>
      <c r="V71" s="488"/>
      <c r="W71" s="6"/>
      <c r="X71" s="6"/>
      <c r="Y71" s="6"/>
      <c r="Z71" s="6"/>
      <c r="AA71" s="6"/>
      <c r="AB71" s="14"/>
    </row>
    <row r="72" spans="2:28" x14ac:dyDescent="0.25">
      <c r="B72" s="13"/>
      <c r="C72" s="526"/>
      <c r="D72" s="527"/>
      <c r="E72" s="527"/>
      <c r="F72" s="527"/>
      <c r="G72" s="527"/>
      <c r="H72" s="528"/>
      <c r="I72" s="488"/>
      <c r="J72" s="6"/>
      <c r="K72" s="6"/>
      <c r="L72" s="6"/>
      <c r="O72" s="6"/>
      <c r="P72" s="526"/>
      <c r="Q72" s="527"/>
      <c r="R72" s="527"/>
      <c r="S72" s="527"/>
      <c r="T72" s="527"/>
      <c r="U72" s="528"/>
      <c r="V72" s="488"/>
      <c r="W72" s="6"/>
      <c r="X72" s="6"/>
      <c r="Y72" s="6"/>
      <c r="Z72" s="6"/>
      <c r="AA72" s="6"/>
      <c r="AB72" s="14"/>
    </row>
    <row r="73" spans="2:28" x14ac:dyDescent="0.25">
      <c r="B73" s="13"/>
      <c r="C73" s="526"/>
      <c r="D73" s="529"/>
      <c r="E73" s="529"/>
      <c r="F73" s="529"/>
      <c r="G73" s="529"/>
      <c r="H73" s="528"/>
      <c r="I73" s="488"/>
      <c r="J73" s="6"/>
      <c r="K73" s="6"/>
      <c r="L73" s="6"/>
      <c r="O73" s="6"/>
      <c r="P73" s="526"/>
      <c r="Q73" s="529"/>
      <c r="R73" s="529"/>
      <c r="S73" s="529"/>
      <c r="T73" s="529"/>
      <c r="U73" s="528"/>
      <c r="V73" s="488"/>
      <c r="W73" s="6"/>
      <c r="X73" s="6"/>
      <c r="Y73" s="6"/>
      <c r="Z73" s="6"/>
      <c r="AA73" s="6"/>
      <c r="AB73" s="14"/>
    </row>
    <row r="74" spans="2:28" x14ac:dyDescent="0.25">
      <c r="B74" s="13"/>
      <c r="C74" s="530"/>
      <c r="D74" s="531"/>
      <c r="E74" s="531"/>
      <c r="F74" s="531"/>
      <c r="G74" s="531"/>
      <c r="H74" s="532"/>
      <c r="I74" s="488"/>
      <c r="J74" s="6"/>
      <c r="K74" s="6"/>
      <c r="L74" s="6"/>
      <c r="O74" s="6"/>
      <c r="P74" s="530"/>
      <c r="Q74" s="531"/>
      <c r="R74" s="531"/>
      <c r="S74" s="531"/>
      <c r="T74" s="531"/>
      <c r="U74" s="532"/>
      <c r="V74" s="488"/>
      <c r="W74" s="6"/>
      <c r="X74" s="6"/>
      <c r="Y74" s="6"/>
      <c r="Z74" s="6"/>
      <c r="AA74" s="6"/>
      <c r="AB74" s="14"/>
    </row>
    <row r="75" spans="2:28" x14ac:dyDescent="0.25">
      <c r="B75" s="13"/>
      <c r="C75" s="6"/>
      <c r="D75" s="6"/>
      <c r="E75" s="6"/>
      <c r="F75" s="6"/>
      <c r="G75" s="6"/>
      <c r="H75" s="6"/>
      <c r="I75" s="6"/>
      <c r="J75" s="6"/>
      <c r="K75" s="6"/>
      <c r="L75" s="6"/>
      <c r="M75" s="6"/>
      <c r="N75" s="6"/>
      <c r="O75" s="6"/>
      <c r="P75" s="6"/>
      <c r="Q75" s="6"/>
      <c r="R75" s="6"/>
      <c r="S75" s="6"/>
      <c r="T75" s="6"/>
      <c r="U75" s="6"/>
      <c r="V75" s="6"/>
      <c r="W75" s="6"/>
      <c r="X75" s="6"/>
      <c r="Y75" s="6"/>
      <c r="Z75" s="6"/>
      <c r="AA75" s="6"/>
      <c r="AB75" s="14"/>
    </row>
    <row r="76" spans="2:28" ht="15.75" thickBot="1" x14ac:dyDescent="0.3">
      <c r="B76" s="15"/>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7"/>
    </row>
  </sheetData>
  <sheetProtection algorithmName="SHA-512" hashValue="YJn6xp6MkhvobKQ3j4abG23TWxsyEbQWuMuX+3OIJX5UIFn8KgPlp6U0dJ8qjeI+3PJWd0Iz42puWHDqObUlCQ==" saltValue="uS6s9qCjxWy7SMG9keLtow==" spinCount="100000" sheet="1" scenarios="1"/>
  <mergeCells count="102">
    <mergeCell ref="Z37:AA37"/>
    <mergeCell ref="C58:N67"/>
    <mergeCell ref="P58:AA67"/>
    <mergeCell ref="D55:E55"/>
    <mergeCell ref="AA4:AB4"/>
    <mergeCell ref="X15:Y15"/>
    <mergeCell ref="X16:Y16"/>
    <mergeCell ref="X19:Y19"/>
    <mergeCell ref="V20:W20"/>
    <mergeCell ref="X20:Y20"/>
    <mergeCell ref="X17:Y17"/>
    <mergeCell ref="X18:Y18"/>
    <mergeCell ref="X10:Y10"/>
    <mergeCell ref="X11:Y11"/>
    <mergeCell ref="X12:Y12"/>
    <mergeCell ref="X13:Y13"/>
    <mergeCell ref="X14:Y14"/>
    <mergeCell ref="Z14:AA14"/>
    <mergeCell ref="Z15:AA15"/>
    <mergeCell ref="H20:I20"/>
    <mergeCell ref="J20:K20"/>
    <mergeCell ref="J9:K9"/>
    <mergeCell ref="J10:K10"/>
    <mergeCell ref="J11:K11"/>
    <mergeCell ref="J12:K12"/>
    <mergeCell ref="J13:K13"/>
    <mergeCell ref="J14:K14"/>
    <mergeCell ref="J15:K15"/>
    <mergeCell ref="J16:K16"/>
    <mergeCell ref="J17:K17"/>
    <mergeCell ref="L12:M12"/>
    <mergeCell ref="L13:M13"/>
    <mergeCell ref="X9:Y9"/>
    <mergeCell ref="X37:Y37"/>
    <mergeCell ref="J31:K31"/>
    <mergeCell ref="J32:K32"/>
    <mergeCell ref="J33:K33"/>
    <mergeCell ref="J34:K34"/>
    <mergeCell ref="J35:K35"/>
    <mergeCell ref="L35:M35"/>
    <mergeCell ref="L34:M34"/>
    <mergeCell ref="L37:M37"/>
    <mergeCell ref="P42:AB48"/>
    <mergeCell ref="J36:K36"/>
    <mergeCell ref="H37:I37"/>
    <mergeCell ref="J37:K37"/>
    <mergeCell ref="X26:Y26"/>
    <mergeCell ref="X27:Y27"/>
    <mergeCell ref="X28:Y28"/>
    <mergeCell ref="X29:Y29"/>
    <mergeCell ref="X30:Y30"/>
    <mergeCell ref="X31:Y31"/>
    <mergeCell ref="X32:Y32"/>
    <mergeCell ref="X33:Y33"/>
    <mergeCell ref="X34:Y34"/>
    <mergeCell ref="X35:Y35"/>
    <mergeCell ref="X36:Y36"/>
    <mergeCell ref="V37:W37"/>
    <mergeCell ref="J47:K47"/>
    <mergeCell ref="J46:K46"/>
    <mergeCell ref="J45:K45"/>
    <mergeCell ref="J44:K44"/>
    <mergeCell ref="J26:K26"/>
    <mergeCell ref="J27:K27"/>
    <mergeCell ref="J28:K28"/>
    <mergeCell ref="J29:K29"/>
    <mergeCell ref="J30:K30"/>
    <mergeCell ref="Z9:AA9"/>
    <mergeCell ref="Z10:AA10"/>
    <mergeCell ref="Z11:AA11"/>
    <mergeCell ref="Z12:AA12"/>
    <mergeCell ref="Z13:AA13"/>
    <mergeCell ref="L9:M9"/>
    <mergeCell ref="L10:M10"/>
    <mergeCell ref="L11:M11"/>
    <mergeCell ref="L14:M14"/>
    <mergeCell ref="L15:M15"/>
    <mergeCell ref="L16:M16"/>
    <mergeCell ref="L17:M17"/>
    <mergeCell ref="Z18:AA18"/>
    <mergeCell ref="Z16:AA16"/>
    <mergeCell ref="Z17:AA17"/>
    <mergeCell ref="Z19:AA19"/>
    <mergeCell ref="L26:M26"/>
    <mergeCell ref="L27:M27"/>
    <mergeCell ref="L28:M28"/>
    <mergeCell ref="Z26:AA26"/>
    <mergeCell ref="Z27:AA27"/>
    <mergeCell ref="Z28:AA28"/>
    <mergeCell ref="L20:M20"/>
    <mergeCell ref="Z20:AA20"/>
    <mergeCell ref="Z34:AA34"/>
    <mergeCell ref="L29:M29"/>
    <mergeCell ref="L30:M30"/>
    <mergeCell ref="L31:M31"/>
    <mergeCell ref="L32:M32"/>
    <mergeCell ref="L33:M33"/>
    <mergeCell ref="Z29:AA29"/>
    <mergeCell ref="Z30:AA30"/>
    <mergeCell ref="Z31:AA31"/>
    <mergeCell ref="Z32:AA32"/>
    <mergeCell ref="Z33:AA33"/>
  </mergeCells>
  <conditionalFormatting sqref="P42">
    <cfRule type="expression" dxfId="10" priority="8">
      <formula>$P$42="Résultats non conformes au référentiel"</formula>
    </cfRule>
    <cfRule type="expression" dxfId="9" priority="9">
      <formula>$P$42="Résultats conformes au référentiel"</formula>
    </cfRule>
  </conditionalFormatting>
  <conditionalFormatting sqref="X10:Y10">
    <cfRule type="expression" dxfId="8" priority="7">
      <formula>$X$10="AUDIT NON VALIDE"</formula>
    </cfRule>
  </conditionalFormatting>
  <conditionalFormatting sqref="X37:Y37">
    <cfRule type="expression" dxfId="7" priority="6">
      <formula>$X$37="Sans Objet"</formula>
    </cfRule>
  </conditionalFormatting>
  <conditionalFormatting sqref="X20:Y20">
    <cfRule type="expression" dxfId="6" priority="5">
      <formula>$X$10="AUDIT NON VALIDE"</formula>
    </cfRule>
  </conditionalFormatting>
  <conditionalFormatting sqref="Z10:AA19">
    <cfRule type="expression" dxfId="5" priority="4">
      <formula>$X$10="AUDIT NON VALIDE"</formula>
    </cfRule>
  </conditionalFormatting>
  <conditionalFormatting sqref="Z20:AA20">
    <cfRule type="expression" dxfId="4" priority="2">
      <formula>$X$10="AUDIT NON VALIDE"</formula>
    </cfRule>
  </conditionalFormatting>
  <conditionalFormatting sqref="Z37:AA37">
    <cfRule type="expression" dxfId="3" priority="1">
      <formula>$X$37="Sans Objet"</formula>
    </cfRule>
  </conditionalFormatting>
  <dataValidations count="1">
    <dataValidation type="date" allowBlank="1" showInputMessage="1" showErrorMessage="1" sqref="D55:E55">
      <formula1>367</formula1>
      <formula2>401768</formula2>
    </dataValidation>
  </dataValidations>
  <pageMargins left="0.70866141732283472" right="0.70866141732283472" top="0.74803149606299213" bottom="0.74803149606299213" header="0.31496062992125984" footer="0.31496062992125984"/>
  <pageSetup paperSize="9" scale="45" orientation="landscape" r:id="rId1"/>
  <ignoredErrors>
    <ignoredError sqref="L45"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3" id="{EA9EEB23-15CC-43BA-960E-7C9101B1F1BC}">
            <xm:f>Irrigation!$K$10="Non"</xm:f>
            <x14:dxf>
              <numFmt numFmtId="174" formatCode=";;;"/>
              <fill>
                <patternFill patternType="lightUp"/>
              </fill>
            </x14:dxf>
          </x14:cfRule>
          <xm:sqref>Z27:AA34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X102"/>
  <sheetViews>
    <sheetView workbookViewId="0">
      <selection activeCell="D24" sqref="D24"/>
    </sheetView>
  </sheetViews>
  <sheetFormatPr baseColWidth="10" defaultColWidth="9.140625" defaultRowHeight="15" x14ac:dyDescent="0.25"/>
  <cols>
    <col min="2" max="2" width="45.85546875" bestFit="1" customWidth="1"/>
    <col min="4" max="4" width="26.42578125" bestFit="1" customWidth="1"/>
    <col min="6" max="6" width="56.5703125" bestFit="1" customWidth="1"/>
    <col min="8" max="8" width="15.5703125" bestFit="1" customWidth="1"/>
    <col min="10" max="10" width="31.42578125" bestFit="1" customWidth="1"/>
    <col min="12" max="12" width="20" style="39" bestFit="1" customWidth="1"/>
    <col min="13" max="13" width="20" style="396" customWidth="1"/>
    <col min="15" max="15" width="27.42578125" bestFit="1" customWidth="1"/>
    <col min="17" max="17" width="10.5703125" bestFit="1" customWidth="1"/>
    <col min="18" max="18" width="70.7109375" bestFit="1" customWidth="1"/>
    <col min="20" max="20" width="26.5703125" style="191" bestFit="1" customWidth="1"/>
    <col min="22" max="22" width="20" bestFit="1" customWidth="1"/>
    <col min="24" max="24" width="18.28515625" bestFit="1" customWidth="1"/>
  </cols>
  <sheetData>
    <row r="1" spans="1:24" x14ac:dyDescent="0.25">
      <c r="A1" s="2" t="s">
        <v>0</v>
      </c>
    </row>
    <row r="3" spans="1:24" x14ac:dyDescent="0.25">
      <c r="B3" s="1" t="s">
        <v>2565</v>
      </c>
      <c r="D3" s="1" t="s">
        <v>10</v>
      </c>
      <c r="F3" s="1" t="s">
        <v>879</v>
      </c>
      <c r="H3" s="1" t="s">
        <v>33</v>
      </c>
      <c r="J3" s="1" t="s">
        <v>65</v>
      </c>
      <c r="L3" s="64" t="s">
        <v>134</v>
      </c>
      <c r="M3" s="64" t="s">
        <v>752</v>
      </c>
      <c r="O3" s="64" t="s">
        <v>2567</v>
      </c>
      <c r="Q3" s="174" t="s">
        <v>445</v>
      </c>
      <c r="R3" s="174" t="s">
        <v>446</v>
      </c>
      <c r="T3" s="174" t="s">
        <v>562</v>
      </c>
      <c r="V3" s="174" t="s">
        <v>2566</v>
      </c>
      <c r="X3" s="174" t="s">
        <v>2525</v>
      </c>
    </row>
    <row r="4" spans="1:24" x14ac:dyDescent="0.25">
      <c r="B4" s="162" t="s">
        <v>1</v>
      </c>
      <c r="D4" s="387" t="s">
        <v>916</v>
      </c>
      <c r="F4" s="162" t="s">
        <v>567</v>
      </c>
      <c r="H4" s="162" t="s">
        <v>38</v>
      </c>
      <c r="J4" s="387" t="s">
        <v>66</v>
      </c>
      <c r="L4" s="401" t="s">
        <v>135</v>
      </c>
      <c r="M4" s="401" t="s">
        <v>135</v>
      </c>
      <c r="O4" s="163" t="s">
        <v>334</v>
      </c>
      <c r="Q4" s="162">
        <v>4500</v>
      </c>
      <c r="R4" s="162" t="s">
        <v>434</v>
      </c>
      <c r="T4" s="163" t="s">
        <v>463</v>
      </c>
      <c r="V4" s="162" t="s">
        <v>629</v>
      </c>
      <c r="X4" s="369" t="s">
        <v>2526</v>
      </c>
    </row>
    <row r="5" spans="1:24" x14ac:dyDescent="0.25">
      <c r="B5" s="162" t="s">
        <v>3</v>
      </c>
      <c r="D5" s="387" t="s">
        <v>917</v>
      </c>
      <c r="F5" s="162" t="s">
        <v>34</v>
      </c>
      <c r="H5" s="162" t="s">
        <v>39</v>
      </c>
      <c r="J5" s="387" t="s">
        <v>67</v>
      </c>
      <c r="L5" s="401" t="s">
        <v>136</v>
      </c>
      <c r="M5" s="401" t="s">
        <v>178</v>
      </c>
      <c r="O5" s="163" t="s">
        <v>335</v>
      </c>
      <c r="Q5" s="162">
        <v>4600</v>
      </c>
      <c r="R5" s="162" t="s">
        <v>435</v>
      </c>
      <c r="T5" s="163" t="s">
        <v>464</v>
      </c>
      <c r="V5" s="162" t="s">
        <v>630</v>
      </c>
      <c r="X5" s="369" t="s">
        <v>2527</v>
      </c>
    </row>
    <row r="6" spans="1:24" x14ac:dyDescent="0.25">
      <c r="B6" s="162" t="s">
        <v>2</v>
      </c>
      <c r="D6" s="387" t="s">
        <v>16</v>
      </c>
      <c r="F6" s="162" t="s">
        <v>35</v>
      </c>
      <c r="H6" s="162" t="s">
        <v>40</v>
      </c>
      <c r="J6" s="387" t="s">
        <v>68</v>
      </c>
      <c r="L6" s="401" t="s">
        <v>137</v>
      </c>
      <c r="M6" s="401" t="s">
        <v>178</v>
      </c>
      <c r="Q6" s="162">
        <v>4700</v>
      </c>
      <c r="R6" s="162" t="s">
        <v>436</v>
      </c>
      <c r="T6" s="163" t="s">
        <v>465</v>
      </c>
      <c r="V6" s="162" t="s">
        <v>631</v>
      </c>
      <c r="X6" s="369" t="s">
        <v>2528</v>
      </c>
    </row>
    <row r="7" spans="1:24" x14ac:dyDescent="0.25">
      <c r="B7" s="162" t="s">
        <v>4</v>
      </c>
      <c r="D7" s="387" t="s">
        <v>918</v>
      </c>
      <c r="F7" s="162" t="s">
        <v>568</v>
      </c>
      <c r="H7" s="162" t="s">
        <v>41</v>
      </c>
      <c r="J7" s="489" t="s">
        <v>2425</v>
      </c>
      <c r="L7" s="401" t="s">
        <v>177</v>
      </c>
      <c r="M7" s="401" t="s">
        <v>178</v>
      </c>
      <c r="Q7" s="162">
        <v>4810</v>
      </c>
      <c r="R7" s="162" t="s">
        <v>437</v>
      </c>
      <c r="T7" s="163" t="s">
        <v>466</v>
      </c>
      <c r="V7" s="162" t="s">
        <v>632</v>
      </c>
      <c r="X7" s="369" t="s">
        <v>2529</v>
      </c>
    </row>
    <row r="8" spans="1:24" x14ac:dyDescent="0.25">
      <c r="B8" s="162" t="s">
        <v>5</v>
      </c>
      <c r="D8" s="387" t="s">
        <v>19</v>
      </c>
      <c r="F8" s="162" t="s">
        <v>36</v>
      </c>
      <c r="H8" s="162" t="s">
        <v>42</v>
      </c>
      <c r="L8" s="401" t="s">
        <v>192</v>
      </c>
      <c r="M8" s="401" t="s">
        <v>178</v>
      </c>
      <c r="Q8" s="162">
        <v>4820</v>
      </c>
      <c r="R8" s="162" t="s">
        <v>438</v>
      </c>
      <c r="T8" s="163" t="s">
        <v>467</v>
      </c>
      <c r="V8" s="162" t="s">
        <v>633</v>
      </c>
    </row>
    <row r="9" spans="1:24" x14ac:dyDescent="0.25">
      <c r="B9" s="162" t="s">
        <v>6</v>
      </c>
      <c r="D9" s="387" t="s">
        <v>919</v>
      </c>
      <c r="F9" s="162" t="s">
        <v>37</v>
      </c>
      <c r="H9" s="162" t="s">
        <v>43</v>
      </c>
      <c r="L9" s="401" t="s">
        <v>138</v>
      </c>
      <c r="M9" s="401" t="s">
        <v>178</v>
      </c>
      <c r="Q9" s="162">
        <v>4830</v>
      </c>
      <c r="R9" s="162" t="s">
        <v>439</v>
      </c>
      <c r="T9" s="163" t="s">
        <v>468</v>
      </c>
      <c r="V9" s="162" t="s">
        <v>634</v>
      </c>
    </row>
    <row r="10" spans="1:24" x14ac:dyDescent="0.25">
      <c r="B10" s="162" t="s">
        <v>9</v>
      </c>
      <c r="D10" s="387" t="s">
        <v>920</v>
      </c>
      <c r="H10" s="162" t="s">
        <v>44</v>
      </c>
      <c r="L10" s="401" t="s">
        <v>179</v>
      </c>
      <c r="M10" s="401" t="s">
        <v>179</v>
      </c>
      <c r="Q10" s="162">
        <v>4840</v>
      </c>
      <c r="R10" s="162" t="s">
        <v>440</v>
      </c>
      <c r="T10" s="163" t="s">
        <v>469</v>
      </c>
      <c r="V10" s="162" t="s">
        <v>635</v>
      </c>
    </row>
    <row r="11" spans="1:24" x14ac:dyDescent="0.25">
      <c r="B11" s="162" t="s">
        <v>7</v>
      </c>
      <c r="D11" s="387" t="s">
        <v>302</v>
      </c>
      <c r="H11" s="162" t="s">
        <v>45</v>
      </c>
      <c r="L11" s="401" t="s">
        <v>180</v>
      </c>
      <c r="M11" s="401" t="s">
        <v>178</v>
      </c>
      <c r="Q11" s="162">
        <v>8320</v>
      </c>
      <c r="R11" s="162" t="s">
        <v>441</v>
      </c>
      <c r="T11" s="163" t="s">
        <v>470</v>
      </c>
      <c r="V11" s="162" t="s">
        <v>636</v>
      </c>
    </row>
    <row r="12" spans="1:24" x14ac:dyDescent="0.25">
      <c r="B12" s="162" t="s">
        <v>8</v>
      </c>
      <c r="D12" s="387" t="s">
        <v>921</v>
      </c>
      <c r="H12" s="162" t="s">
        <v>46</v>
      </c>
      <c r="L12" s="401" t="s">
        <v>181</v>
      </c>
      <c r="M12" s="401" t="s">
        <v>178</v>
      </c>
      <c r="Q12" s="162">
        <v>8330</v>
      </c>
      <c r="R12" s="162" t="s">
        <v>442</v>
      </c>
      <c r="T12" s="163" t="s">
        <v>471</v>
      </c>
      <c r="V12" s="162" t="s">
        <v>637</v>
      </c>
    </row>
    <row r="13" spans="1:24" x14ac:dyDescent="0.25">
      <c r="D13" s="387" t="s">
        <v>922</v>
      </c>
      <c r="H13" s="162" t="s">
        <v>47</v>
      </c>
      <c r="L13" s="401" t="s">
        <v>139</v>
      </c>
      <c r="M13" s="401" t="s">
        <v>178</v>
      </c>
      <c r="Q13" s="162">
        <v>8340</v>
      </c>
      <c r="R13" s="162" t="s">
        <v>443</v>
      </c>
      <c r="T13" s="163" t="s">
        <v>472</v>
      </c>
      <c r="V13" s="162" t="s">
        <v>638</v>
      </c>
    </row>
    <row r="14" spans="1:24" x14ac:dyDescent="0.25">
      <c r="D14" s="387" t="s">
        <v>923</v>
      </c>
      <c r="H14" s="162" t="s">
        <v>48</v>
      </c>
      <c r="L14" s="401" t="s">
        <v>140</v>
      </c>
      <c r="M14" s="401" t="s">
        <v>140</v>
      </c>
      <c r="Q14" s="162">
        <v>8420</v>
      </c>
      <c r="R14" s="162" t="s">
        <v>444</v>
      </c>
      <c r="T14" s="163" t="s">
        <v>473</v>
      </c>
      <c r="V14" s="162" t="s">
        <v>639</v>
      </c>
    </row>
    <row r="15" spans="1:24" x14ac:dyDescent="0.25">
      <c r="D15" s="387" t="s">
        <v>28</v>
      </c>
      <c r="L15" s="401" t="s">
        <v>141</v>
      </c>
      <c r="M15" s="401" t="s">
        <v>178</v>
      </c>
      <c r="T15" s="163" t="s">
        <v>474</v>
      </c>
      <c r="V15" s="162" t="s">
        <v>640</v>
      </c>
    </row>
    <row r="16" spans="1:24" x14ac:dyDescent="0.25">
      <c r="D16" s="387" t="s">
        <v>31</v>
      </c>
      <c r="L16" s="401" t="s">
        <v>182</v>
      </c>
      <c r="M16" s="401" t="s">
        <v>178</v>
      </c>
      <c r="T16" s="163" t="s">
        <v>475</v>
      </c>
      <c r="V16" s="162" t="s">
        <v>641</v>
      </c>
    </row>
    <row r="17" spans="4:20" x14ac:dyDescent="0.25">
      <c r="D17" s="199"/>
      <c r="L17" s="401" t="s">
        <v>142</v>
      </c>
      <c r="M17" s="401" t="s">
        <v>646</v>
      </c>
      <c r="T17" s="163" t="s">
        <v>476</v>
      </c>
    </row>
    <row r="18" spans="4:20" x14ac:dyDescent="0.25">
      <c r="D18" s="6"/>
      <c r="L18" s="401" t="s">
        <v>143</v>
      </c>
      <c r="M18" s="401" t="s">
        <v>646</v>
      </c>
      <c r="T18" s="163" t="s">
        <v>477</v>
      </c>
    </row>
    <row r="19" spans="4:20" x14ac:dyDescent="0.25">
      <c r="D19" s="6"/>
      <c r="L19" s="401" t="s">
        <v>144</v>
      </c>
      <c r="M19" s="401" t="s">
        <v>178</v>
      </c>
      <c r="T19" s="163" t="s">
        <v>478</v>
      </c>
    </row>
    <row r="20" spans="4:20" x14ac:dyDescent="0.25">
      <c r="D20" s="6"/>
      <c r="L20" s="401" t="s">
        <v>183</v>
      </c>
      <c r="M20" s="401" t="s">
        <v>178</v>
      </c>
      <c r="T20" s="163" t="s">
        <v>479</v>
      </c>
    </row>
    <row r="21" spans="4:20" x14ac:dyDescent="0.25">
      <c r="D21" s="6"/>
      <c r="L21" s="401" t="s">
        <v>145</v>
      </c>
      <c r="M21" s="401" t="s">
        <v>178</v>
      </c>
      <c r="T21" s="163" t="s">
        <v>480</v>
      </c>
    </row>
    <row r="22" spans="4:20" x14ac:dyDescent="0.25">
      <c r="D22" s="6"/>
      <c r="L22" s="401" t="s">
        <v>146</v>
      </c>
      <c r="M22" s="401" t="s">
        <v>178</v>
      </c>
      <c r="T22" s="163" t="s">
        <v>481</v>
      </c>
    </row>
    <row r="23" spans="4:20" x14ac:dyDescent="0.25">
      <c r="D23" s="6"/>
      <c r="L23" s="401" t="s">
        <v>147</v>
      </c>
      <c r="M23" s="401" t="s">
        <v>178</v>
      </c>
      <c r="T23" s="163" t="s">
        <v>482</v>
      </c>
    </row>
    <row r="24" spans="4:20" x14ac:dyDescent="0.25">
      <c r="D24" s="6"/>
      <c r="L24" s="401" t="s">
        <v>185</v>
      </c>
      <c r="M24" s="401" t="s">
        <v>178</v>
      </c>
      <c r="T24" s="163" t="s">
        <v>483</v>
      </c>
    </row>
    <row r="25" spans="4:20" x14ac:dyDescent="0.25">
      <c r="D25" s="6"/>
      <c r="L25" s="401" t="s">
        <v>184</v>
      </c>
      <c r="M25" s="401" t="s">
        <v>178</v>
      </c>
      <c r="T25" s="163" t="s">
        <v>484</v>
      </c>
    </row>
    <row r="26" spans="4:20" x14ac:dyDescent="0.25">
      <c r="L26" s="401" t="s">
        <v>186</v>
      </c>
      <c r="M26" s="401" t="s">
        <v>178</v>
      </c>
      <c r="T26" s="163" t="s">
        <v>485</v>
      </c>
    </row>
    <row r="27" spans="4:20" x14ac:dyDescent="0.25">
      <c r="L27" s="401" t="s">
        <v>173</v>
      </c>
      <c r="M27" s="401" t="s">
        <v>178</v>
      </c>
      <c r="T27" s="163" t="s">
        <v>486</v>
      </c>
    </row>
    <row r="28" spans="4:20" x14ac:dyDescent="0.25">
      <c r="L28" s="401" t="s">
        <v>187</v>
      </c>
      <c r="M28" s="401" t="s">
        <v>178</v>
      </c>
      <c r="T28" s="163" t="s">
        <v>487</v>
      </c>
    </row>
    <row r="29" spans="4:20" x14ac:dyDescent="0.25">
      <c r="L29" s="401" t="s">
        <v>148</v>
      </c>
      <c r="M29" s="401" t="s">
        <v>178</v>
      </c>
      <c r="T29" s="163" t="s">
        <v>488</v>
      </c>
    </row>
    <row r="30" spans="4:20" x14ac:dyDescent="0.25">
      <c r="L30" s="401" t="s">
        <v>149</v>
      </c>
      <c r="M30" s="401" t="s">
        <v>178</v>
      </c>
      <c r="T30" s="163" t="s">
        <v>489</v>
      </c>
    </row>
    <row r="31" spans="4:20" x14ac:dyDescent="0.25">
      <c r="L31" s="401" t="s">
        <v>172</v>
      </c>
      <c r="M31" s="401" t="s">
        <v>178</v>
      </c>
      <c r="T31" s="163" t="s">
        <v>490</v>
      </c>
    </row>
    <row r="32" spans="4:20" x14ac:dyDescent="0.25">
      <c r="L32" s="401" t="s">
        <v>175</v>
      </c>
      <c r="M32" s="401" t="s">
        <v>178</v>
      </c>
      <c r="T32" s="163" t="s">
        <v>491</v>
      </c>
    </row>
    <row r="33" spans="12:20" x14ac:dyDescent="0.25">
      <c r="L33" s="401" t="s">
        <v>150</v>
      </c>
      <c r="M33" s="401" t="s">
        <v>178</v>
      </c>
      <c r="T33" s="163" t="s">
        <v>492</v>
      </c>
    </row>
    <row r="34" spans="12:20" x14ac:dyDescent="0.25">
      <c r="L34" s="401" t="s">
        <v>753</v>
      </c>
      <c r="M34" s="401" t="s">
        <v>646</v>
      </c>
      <c r="T34" s="163" t="s">
        <v>493</v>
      </c>
    </row>
    <row r="35" spans="12:20" x14ac:dyDescent="0.25">
      <c r="L35" s="401" t="s">
        <v>151</v>
      </c>
      <c r="M35" s="401" t="s">
        <v>646</v>
      </c>
      <c r="T35" s="163" t="s">
        <v>494</v>
      </c>
    </row>
    <row r="36" spans="12:20" x14ac:dyDescent="0.25">
      <c r="L36" s="401" t="s">
        <v>188</v>
      </c>
      <c r="M36" s="401" t="s">
        <v>178</v>
      </c>
      <c r="T36" s="163" t="s">
        <v>495</v>
      </c>
    </row>
    <row r="37" spans="12:20" x14ac:dyDescent="0.25">
      <c r="L37" s="401" t="s">
        <v>189</v>
      </c>
      <c r="M37" s="401" t="s">
        <v>178</v>
      </c>
      <c r="T37" s="163" t="s">
        <v>496</v>
      </c>
    </row>
    <row r="38" spans="12:20" x14ac:dyDescent="0.25">
      <c r="L38" s="401" t="s">
        <v>152</v>
      </c>
      <c r="M38" s="401" t="s">
        <v>646</v>
      </c>
      <c r="T38" s="163" t="s">
        <v>497</v>
      </c>
    </row>
    <row r="39" spans="12:20" x14ac:dyDescent="0.25">
      <c r="L39" s="401" t="s">
        <v>190</v>
      </c>
      <c r="M39" s="401" t="s">
        <v>178</v>
      </c>
      <c r="T39" s="163" t="s">
        <v>498</v>
      </c>
    </row>
    <row r="40" spans="12:20" x14ac:dyDescent="0.25">
      <c r="L40" s="401" t="s">
        <v>153</v>
      </c>
      <c r="M40" s="401" t="s">
        <v>153</v>
      </c>
      <c r="T40" s="163" t="s">
        <v>499</v>
      </c>
    </row>
    <row r="41" spans="12:20" x14ac:dyDescent="0.25">
      <c r="L41" s="401" t="s">
        <v>154</v>
      </c>
      <c r="M41" s="401" t="s">
        <v>178</v>
      </c>
      <c r="T41" s="163" t="s">
        <v>500</v>
      </c>
    </row>
    <row r="42" spans="12:20" x14ac:dyDescent="0.25">
      <c r="L42" s="401" t="s">
        <v>156</v>
      </c>
      <c r="M42" s="401" t="s">
        <v>178</v>
      </c>
      <c r="T42" s="163" t="s">
        <v>501</v>
      </c>
    </row>
    <row r="43" spans="12:20" x14ac:dyDescent="0.25">
      <c r="L43" s="401" t="s">
        <v>155</v>
      </c>
      <c r="M43" s="401" t="s">
        <v>178</v>
      </c>
      <c r="T43" s="163" t="s">
        <v>502</v>
      </c>
    </row>
    <row r="44" spans="12:20" x14ac:dyDescent="0.25">
      <c r="L44" s="401" t="s">
        <v>157</v>
      </c>
      <c r="M44" s="401" t="s">
        <v>178</v>
      </c>
      <c r="T44" s="163" t="s">
        <v>503</v>
      </c>
    </row>
    <row r="45" spans="12:20" x14ac:dyDescent="0.25">
      <c r="L45" s="401" t="s">
        <v>158</v>
      </c>
      <c r="M45" s="401" t="s">
        <v>178</v>
      </c>
      <c r="T45" s="163" t="s">
        <v>504</v>
      </c>
    </row>
    <row r="46" spans="12:20" x14ac:dyDescent="0.25">
      <c r="L46" s="401" t="s">
        <v>159</v>
      </c>
      <c r="M46" s="401" t="s">
        <v>159</v>
      </c>
      <c r="T46" s="163" t="s">
        <v>505</v>
      </c>
    </row>
    <row r="47" spans="12:20" x14ac:dyDescent="0.25">
      <c r="L47" s="401" t="s">
        <v>160</v>
      </c>
      <c r="M47" s="401" t="s">
        <v>178</v>
      </c>
      <c r="T47" s="163" t="s">
        <v>506</v>
      </c>
    </row>
    <row r="48" spans="12:20" x14ac:dyDescent="0.25">
      <c r="L48" s="401" t="s">
        <v>161</v>
      </c>
      <c r="M48" s="401" t="s">
        <v>178</v>
      </c>
      <c r="T48" s="163" t="s">
        <v>507</v>
      </c>
    </row>
    <row r="49" spans="12:20" x14ac:dyDescent="0.25">
      <c r="L49" s="401" t="s">
        <v>162</v>
      </c>
      <c r="M49" s="401" t="s">
        <v>162</v>
      </c>
      <c r="T49" s="163" t="s">
        <v>508</v>
      </c>
    </row>
    <row r="50" spans="12:20" x14ac:dyDescent="0.25">
      <c r="L50" s="401" t="s">
        <v>163</v>
      </c>
      <c r="M50" s="401" t="s">
        <v>178</v>
      </c>
      <c r="T50" s="163" t="s">
        <v>509</v>
      </c>
    </row>
    <row r="51" spans="12:20" x14ac:dyDescent="0.25">
      <c r="L51" s="401" t="s">
        <v>164</v>
      </c>
      <c r="M51" s="401" t="s">
        <v>646</v>
      </c>
      <c r="T51" s="163" t="s">
        <v>510</v>
      </c>
    </row>
    <row r="52" spans="12:20" x14ac:dyDescent="0.25">
      <c r="L52" s="401" t="s">
        <v>165</v>
      </c>
      <c r="M52" s="401" t="s">
        <v>646</v>
      </c>
      <c r="T52" s="163" t="s">
        <v>511</v>
      </c>
    </row>
    <row r="53" spans="12:20" x14ac:dyDescent="0.25">
      <c r="L53" s="401" t="s">
        <v>191</v>
      </c>
      <c r="M53" s="401" t="s">
        <v>178</v>
      </c>
      <c r="T53" s="163" t="s">
        <v>512</v>
      </c>
    </row>
    <row r="54" spans="12:20" x14ac:dyDescent="0.25">
      <c r="L54" s="401" t="s">
        <v>166</v>
      </c>
      <c r="M54" s="401" t="s">
        <v>166</v>
      </c>
      <c r="T54" s="163" t="s">
        <v>513</v>
      </c>
    </row>
    <row r="55" spans="12:20" x14ac:dyDescent="0.25">
      <c r="L55" s="401" t="s">
        <v>174</v>
      </c>
      <c r="M55" s="401" t="s">
        <v>178</v>
      </c>
      <c r="T55" s="163" t="s">
        <v>514</v>
      </c>
    </row>
    <row r="56" spans="12:20" x14ac:dyDescent="0.25">
      <c r="L56" s="401" t="s">
        <v>167</v>
      </c>
      <c r="M56" s="401" t="s">
        <v>167</v>
      </c>
      <c r="T56" s="163" t="s">
        <v>515</v>
      </c>
    </row>
    <row r="57" spans="12:20" x14ac:dyDescent="0.25">
      <c r="L57" s="401" t="s">
        <v>168</v>
      </c>
      <c r="M57" s="401" t="s">
        <v>178</v>
      </c>
      <c r="T57" s="163" t="s">
        <v>516</v>
      </c>
    </row>
    <row r="58" spans="12:20" x14ac:dyDescent="0.25">
      <c r="L58" s="401" t="s">
        <v>169</v>
      </c>
      <c r="M58" s="401" t="s">
        <v>169</v>
      </c>
      <c r="T58" s="163" t="s">
        <v>517</v>
      </c>
    </row>
    <row r="59" spans="12:20" x14ac:dyDescent="0.25">
      <c r="L59" s="401" t="s">
        <v>170</v>
      </c>
      <c r="M59" s="401" t="s">
        <v>170</v>
      </c>
      <c r="T59" s="163" t="s">
        <v>518</v>
      </c>
    </row>
    <row r="60" spans="12:20" x14ac:dyDescent="0.25">
      <c r="L60" s="401" t="s">
        <v>176</v>
      </c>
      <c r="M60" s="401" t="s">
        <v>178</v>
      </c>
      <c r="T60" s="163" t="s">
        <v>519</v>
      </c>
    </row>
    <row r="61" spans="12:20" x14ac:dyDescent="0.25">
      <c r="L61" s="401" t="s">
        <v>171</v>
      </c>
      <c r="M61" s="401" t="s">
        <v>178</v>
      </c>
      <c r="T61" s="163" t="s">
        <v>520</v>
      </c>
    </row>
    <row r="62" spans="12:20" x14ac:dyDescent="0.25">
      <c r="T62" s="163" t="s">
        <v>521</v>
      </c>
    </row>
    <row r="63" spans="12:20" x14ac:dyDescent="0.25">
      <c r="T63" s="163" t="s">
        <v>522</v>
      </c>
    </row>
    <row r="64" spans="12:20" x14ac:dyDescent="0.25">
      <c r="T64" s="163" t="s">
        <v>523</v>
      </c>
    </row>
    <row r="65" spans="20:20" x14ac:dyDescent="0.25">
      <c r="T65" s="163" t="s">
        <v>524</v>
      </c>
    </row>
    <row r="66" spans="20:20" x14ac:dyDescent="0.25">
      <c r="T66" s="163" t="s">
        <v>525</v>
      </c>
    </row>
    <row r="67" spans="20:20" x14ac:dyDescent="0.25">
      <c r="T67" s="163" t="s">
        <v>526</v>
      </c>
    </row>
    <row r="68" spans="20:20" x14ac:dyDescent="0.25">
      <c r="T68" s="163" t="s">
        <v>527</v>
      </c>
    </row>
    <row r="69" spans="20:20" x14ac:dyDescent="0.25">
      <c r="T69" s="163" t="s">
        <v>528</v>
      </c>
    </row>
    <row r="70" spans="20:20" x14ac:dyDescent="0.25">
      <c r="T70" s="163" t="s">
        <v>529</v>
      </c>
    </row>
    <row r="71" spans="20:20" x14ac:dyDescent="0.25">
      <c r="T71" s="163" t="s">
        <v>530</v>
      </c>
    </row>
    <row r="72" spans="20:20" x14ac:dyDescent="0.25">
      <c r="T72" s="163" t="s">
        <v>531</v>
      </c>
    </row>
    <row r="73" spans="20:20" x14ac:dyDescent="0.25">
      <c r="T73" s="163" t="s">
        <v>532</v>
      </c>
    </row>
    <row r="74" spans="20:20" x14ac:dyDescent="0.25">
      <c r="T74" s="163" t="s">
        <v>533</v>
      </c>
    </row>
    <row r="75" spans="20:20" x14ac:dyDescent="0.25">
      <c r="T75" s="163" t="s">
        <v>534</v>
      </c>
    </row>
    <row r="76" spans="20:20" x14ac:dyDescent="0.25">
      <c r="T76" s="163" t="s">
        <v>535</v>
      </c>
    </row>
    <row r="77" spans="20:20" x14ac:dyDescent="0.25">
      <c r="T77" s="163" t="s">
        <v>536</v>
      </c>
    </row>
    <row r="78" spans="20:20" x14ac:dyDescent="0.25">
      <c r="T78" s="163" t="s">
        <v>537</v>
      </c>
    </row>
    <row r="79" spans="20:20" x14ac:dyDescent="0.25">
      <c r="T79" s="163" t="s">
        <v>538</v>
      </c>
    </row>
    <row r="80" spans="20:20" x14ac:dyDescent="0.25">
      <c r="T80" s="163" t="s">
        <v>539</v>
      </c>
    </row>
    <row r="81" spans="20:20" x14ac:dyDescent="0.25">
      <c r="T81" s="163" t="s">
        <v>540</v>
      </c>
    </row>
    <row r="82" spans="20:20" x14ac:dyDescent="0.25">
      <c r="T82" s="163" t="s">
        <v>541</v>
      </c>
    </row>
    <row r="83" spans="20:20" x14ac:dyDescent="0.25">
      <c r="T83" s="163" t="s">
        <v>542</v>
      </c>
    </row>
    <row r="84" spans="20:20" x14ac:dyDescent="0.25">
      <c r="T84" s="163" t="s">
        <v>543</v>
      </c>
    </row>
    <row r="85" spans="20:20" x14ac:dyDescent="0.25">
      <c r="T85" s="163" t="s">
        <v>544</v>
      </c>
    </row>
    <row r="86" spans="20:20" x14ac:dyDescent="0.25">
      <c r="T86" s="163" t="s">
        <v>545</v>
      </c>
    </row>
    <row r="87" spans="20:20" x14ac:dyDescent="0.25">
      <c r="T87" s="163" t="s">
        <v>546</v>
      </c>
    </row>
    <row r="88" spans="20:20" x14ac:dyDescent="0.25">
      <c r="T88" s="163" t="s">
        <v>547</v>
      </c>
    </row>
    <row r="89" spans="20:20" x14ac:dyDescent="0.25">
      <c r="T89" s="163" t="s">
        <v>548</v>
      </c>
    </row>
    <row r="90" spans="20:20" x14ac:dyDescent="0.25">
      <c r="T90" s="163" t="s">
        <v>549</v>
      </c>
    </row>
    <row r="91" spans="20:20" x14ac:dyDescent="0.25">
      <c r="T91" s="163" t="s">
        <v>550</v>
      </c>
    </row>
    <row r="92" spans="20:20" x14ac:dyDescent="0.25">
      <c r="T92" s="163" t="s">
        <v>551</v>
      </c>
    </row>
    <row r="93" spans="20:20" x14ac:dyDescent="0.25">
      <c r="T93" s="163" t="s">
        <v>552</v>
      </c>
    </row>
    <row r="94" spans="20:20" x14ac:dyDescent="0.25">
      <c r="T94" s="163" t="s">
        <v>553</v>
      </c>
    </row>
    <row r="95" spans="20:20" x14ac:dyDescent="0.25">
      <c r="T95" s="163" t="s">
        <v>554</v>
      </c>
    </row>
    <row r="96" spans="20:20" x14ac:dyDescent="0.25">
      <c r="T96" s="163" t="s">
        <v>555</v>
      </c>
    </row>
    <row r="97" spans="20:20" x14ac:dyDescent="0.25">
      <c r="T97" s="163" t="s">
        <v>556</v>
      </c>
    </row>
    <row r="98" spans="20:20" x14ac:dyDescent="0.25">
      <c r="T98" s="163" t="s">
        <v>557</v>
      </c>
    </row>
    <row r="99" spans="20:20" x14ac:dyDescent="0.25">
      <c r="T99" s="163" t="s">
        <v>558</v>
      </c>
    </row>
    <row r="100" spans="20:20" x14ac:dyDescent="0.25">
      <c r="T100" s="163" t="s">
        <v>559</v>
      </c>
    </row>
    <row r="101" spans="20:20" x14ac:dyDescent="0.25">
      <c r="T101" s="163" t="s">
        <v>560</v>
      </c>
    </row>
    <row r="102" spans="20:20" x14ac:dyDescent="0.25">
      <c r="T102" s="163" t="s">
        <v>561</v>
      </c>
    </row>
  </sheetData>
  <sheetProtection algorithmName="SHA-512" hashValue="YeQw6+pPHs+kk5cwQzjLi5pZy+HUieySxMhQFQuUPUhsQvZTQKUd5kfvrYTj57e4Jlp1Io+mHH5BERvLcZpNAg==" saltValue="H7cq+D5dBI2TCkxv36z5oQ=="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sheetPr>
  <dimension ref="B1:BQ281"/>
  <sheetViews>
    <sheetView workbookViewId="0">
      <selection activeCell="AH4" sqref="AH4"/>
    </sheetView>
  </sheetViews>
  <sheetFormatPr baseColWidth="10" defaultColWidth="9.140625" defaultRowHeight="15" outlineLevelCol="1" x14ac:dyDescent="0.25"/>
  <cols>
    <col min="2" max="2" width="76.7109375" bestFit="1" customWidth="1"/>
    <col min="3" max="3" width="11.85546875" style="39" customWidth="1"/>
    <col min="4" max="4" width="12" style="39" customWidth="1"/>
    <col min="5" max="5" width="10" style="39" bestFit="1" customWidth="1"/>
    <col min="6" max="6" width="16.5703125" style="39" bestFit="1" customWidth="1"/>
    <col min="7" max="8" width="16.5703125" style="39" customWidth="1"/>
    <col min="10" max="10" width="80" bestFit="1" customWidth="1"/>
    <col min="11" max="11" width="17.28515625" bestFit="1" customWidth="1"/>
    <col min="16" max="16" width="52.42578125" bestFit="1" customWidth="1"/>
    <col min="17" max="20" width="15.140625" customWidth="1"/>
    <col min="21" max="23" width="14.7109375" customWidth="1" outlineLevel="1"/>
    <col min="24" max="35" width="18.140625" customWidth="1"/>
    <col min="37" max="37" width="39.140625" bestFit="1" customWidth="1"/>
    <col min="38" max="38" width="26.85546875" bestFit="1" customWidth="1"/>
    <col min="39" max="39" width="24.7109375" bestFit="1" customWidth="1"/>
    <col min="41" max="41" width="42.5703125" customWidth="1"/>
    <col min="42" max="47" width="19.42578125" customWidth="1"/>
    <col min="49" max="49" width="26.42578125" bestFit="1" customWidth="1"/>
    <col min="50" max="50" width="11" bestFit="1" customWidth="1"/>
    <col min="51" max="51" width="18.140625" bestFit="1" customWidth="1"/>
    <col min="52" max="52" width="54.140625" bestFit="1" customWidth="1"/>
    <col min="54" max="54" width="18.5703125" bestFit="1" customWidth="1"/>
    <col min="55" max="55" width="24.42578125" bestFit="1" customWidth="1"/>
    <col min="56" max="56" width="8" bestFit="1" customWidth="1"/>
    <col min="57" max="57" width="29.28515625" bestFit="1" customWidth="1"/>
    <col min="58" max="58" width="31.28515625" bestFit="1" customWidth="1"/>
    <col min="59" max="59" width="53.140625" bestFit="1" customWidth="1"/>
    <col min="60" max="60" width="53.140625" customWidth="1"/>
    <col min="61" max="61" width="43" bestFit="1" customWidth="1"/>
    <col min="63" max="63" width="25.7109375" style="499" customWidth="1"/>
    <col min="64" max="64" width="27.42578125" style="499" customWidth="1"/>
    <col min="65" max="66" width="9.140625" style="499"/>
    <col min="67" max="67" width="9.140625" style="565"/>
    <col min="68" max="68" width="32.42578125" bestFit="1" customWidth="1"/>
  </cols>
  <sheetData>
    <row r="1" spans="2:69" ht="15.75" thickBot="1" x14ac:dyDescent="0.3"/>
    <row r="2" spans="2:69" ht="15.75" thickTop="1" x14ac:dyDescent="0.25">
      <c r="B2" s="75" t="s">
        <v>2897</v>
      </c>
      <c r="J2" s="75" t="s">
        <v>233</v>
      </c>
      <c r="P2" s="805" t="s">
        <v>2896</v>
      </c>
      <c r="Q2" s="805"/>
      <c r="R2" s="805"/>
      <c r="S2" s="805"/>
      <c r="X2" s="1091" t="s">
        <v>96</v>
      </c>
      <c r="Y2" s="1092"/>
      <c r="Z2" s="1092"/>
      <c r="AA2" s="1093"/>
      <c r="AB2" s="1091" t="s">
        <v>97</v>
      </c>
      <c r="AC2" s="1092"/>
      <c r="AD2" s="1092"/>
      <c r="AE2" s="1093"/>
      <c r="AF2" s="1091" t="s">
        <v>98</v>
      </c>
      <c r="AG2" s="1092"/>
      <c r="AH2" s="1092"/>
      <c r="AI2" s="1093"/>
      <c r="AK2" s="75" t="s">
        <v>2898</v>
      </c>
      <c r="BB2" s="75" t="s">
        <v>2899</v>
      </c>
    </row>
    <row r="3" spans="2:69" x14ac:dyDescent="0.25">
      <c r="Q3" s="1078" t="s">
        <v>399</v>
      </c>
      <c r="R3" s="1078"/>
      <c r="S3" s="1078" t="s">
        <v>400</v>
      </c>
      <c r="T3" s="1078"/>
      <c r="U3" s="1078" t="s">
        <v>2895</v>
      </c>
      <c r="V3" s="1078"/>
      <c r="W3" s="1078"/>
      <c r="X3" s="1078" t="s">
        <v>2904</v>
      </c>
      <c r="Y3" s="1078"/>
      <c r="Z3" s="1078" t="s">
        <v>2905</v>
      </c>
      <c r="AA3" s="1078"/>
      <c r="AB3" s="1078" t="s">
        <v>2904</v>
      </c>
      <c r="AC3" s="1078"/>
      <c r="AD3" s="1078" t="s">
        <v>2905</v>
      </c>
      <c r="AE3" s="1078"/>
      <c r="AF3" s="1078" t="s">
        <v>2904</v>
      </c>
      <c r="AG3" s="1078"/>
      <c r="AH3" s="1078" t="s">
        <v>2905</v>
      </c>
      <c r="AI3" s="1078"/>
      <c r="AO3" s="356" t="s">
        <v>680</v>
      </c>
    </row>
    <row r="4" spans="2:69" x14ac:dyDescent="0.25">
      <c r="B4" s="73" t="s">
        <v>208</v>
      </c>
      <c r="C4" s="74" t="s">
        <v>209</v>
      </c>
      <c r="D4" s="74" t="s">
        <v>210</v>
      </c>
      <c r="E4" s="74" t="s">
        <v>211</v>
      </c>
      <c r="F4" s="74" t="s">
        <v>212</v>
      </c>
      <c r="G4" s="84" t="s">
        <v>247</v>
      </c>
      <c r="H4" s="84" t="s">
        <v>248</v>
      </c>
      <c r="J4" s="74" t="s">
        <v>234</v>
      </c>
      <c r="K4" s="74" t="s">
        <v>235</v>
      </c>
      <c r="L4" s="84" t="s">
        <v>255</v>
      </c>
      <c r="M4" s="84" t="s">
        <v>256</v>
      </c>
      <c r="N4" s="156"/>
      <c r="O4" s="1079" t="s">
        <v>405</v>
      </c>
      <c r="P4" s="84" t="s">
        <v>406</v>
      </c>
      <c r="Q4" s="84" t="s">
        <v>299</v>
      </c>
      <c r="R4" s="84" t="s">
        <v>300</v>
      </c>
      <c r="S4" s="84" t="s">
        <v>299</v>
      </c>
      <c r="T4" s="84" t="s">
        <v>300</v>
      </c>
      <c r="U4" s="195" t="s">
        <v>96</v>
      </c>
      <c r="V4" s="195" t="s">
        <v>97</v>
      </c>
      <c r="W4" s="195" t="s">
        <v>98</v>
      </c>
      <c r="X4" s="195" t="s">
        <v>591</v>
      </c>
      <c r="Y4" s="195" t="s">
        <v>592</v>
      </c>
      <c r="Z4" s="195" t="s">
        <v>591</v>
      </c>
      <c r="AA4" s="195" t="s">
        <v>592</v>
      </c>
      <c r="AB4" s="232" t="s">
        <v>591</v>
      </c>
      <c r="AC4" s="232" t="s">
        <v>592</v>
      </c>
      <c r="AD4" s="232" t="s">
        <v>591</v>
      </c>
      <c r="AE4" s="232" t="s">
        <v>592</v>
      </c>
      <c r="AF4" s="232" t="s">
        <v>591</v>
      </c>
      <c r="AG4" s="232" t="s">
        <v>592</v>
      </c>
      <c r="AH4" s="232" t="s">
        <v>591</v>
      </c>
      <c r="AI4" s="232" t="s">
        <v>592</v>
      </c>
      <c r="AK4" s="84" t="s">
        <v>423</v>
      </c>
      <c r="AL4" s="84" t="s">
        <v>424</v>
      </c>
      <c r="AM4" s="84" t="s">
        <v>425</v>
      </c>
      <c r="AO4" s="234" t="s">
        <v>669</v>
      </c>
      <c r="AP4" s="234" t="s">
        <v>670</v>
      </c>
      <c r="AQ4" s="234" t="s">
        <v>671</v>
      </c>
      <c r="AR4" s="234" t="s">
        <v>672</v>
      </c>
      <c r="AS4" s="234" t="s">
        <v>673</v>
      </c>
      <c r="AT4" s="234" t="s">
        <v>674</v>
      </c>
      <c r="AU4" s="234" t="s">
        <v>675</v>
      </c>
      <c r="AW4" s="370" t="s">
        <v>291</v>
      </c>
      <c r="AX4" s="370" t="s">
        <v>644</v>
      </c>
      <c r="AY4" s="370" t="s">
        <v>698</v>
      </c>
      <c r="AZ4" s="370" t="s">
        <v>699</v>
      </c>
      <c r="BB4" s="395" t="s">
        <v>755</v>
      </c>
      <c r="BC4" s="395" t="s">
        <v>756</v>
      </c>
      <c r="BD4" s="395" t="s">
        <v>757</v>
      </c>
      <c r="BE4" s="395" t="s">
        <v>758</v>
      </c>
      <c r="BF4" s="395" t="s">
        <v>759</v>
      </c>
      <c r="BG4" s="395" t="s">
        <v>760</v>
      </c>
      <c r="BH4" s="435" t="s">
        <v>2325</v>
      </c>
      <c r="BI4" s="395" t="s">
        <v>699</v>
      </c>
      <c r="BK4" s="1078" t="s">
        <v>2560</v>
      </c>
      <c r="BL4" s="1078"/>
      <c r="BP4" s="444" t="s">
        <v>2332</v>
      </c>
    </row>
    <row r="5" spans="2:69" ht="18" x14ac:dyDescent="0.25">
      <c r="B5" s="72" t="s">
        <v>213</v>
      </c>
      <c r="C5" s="40" t="s">
        <v>214</v>
      </c>
      <c r="D5" s="40" t="s">
        <v>214</v>
      </c>
      <c r="E5" s="40" t="s">
        <v>215</v>
      </c>
      <c r="F5" s="40">
        <v>20</v>
      </c>
      <c r="G5" s="40">
        <v>1</v>
      </c>
      <c r="H5" s="40" t="s">
        <v>250</v>
      </c>
      <c r="J5" s="40" t="s">
        <v>236</v>
      </c>
      <c r="K5" s="40">
        <v>0</v>
      </c>
      <c r="L5" s="72">
        <v>0</v>
      </c>
      <c r="M5" s="72">
        <v>3.9999899999999999</v>
      </c>
      <c r="N5" s="6"/>
      <c r="O5" s="1079"/>
      <c r="P5" s="6" t="s">
        <v>401</v>
      </c>
      <c r="Q5" s="158">
        <v>12</v>
      </c>
      <c r="R5" s="158">
        <v>35</v>
      </c>
      <c r="S5" s="158">
        <v>350</v>
      </c>
      <c r="T5" s="159">
        <v>750</v>
      </c>
      <c r="U5" s="247">
        <f>Surfaces!O171</f>
        <v>0</v>
      </c>
      <c r="V5" s="248">
        <f>Surfaces!P171</f>
        <v>0</v>
      </c>
      <c r="W5" s="249">
        <f>Surfaces!Q171</f>
        <v>0</v>
      </c>
      <c r="X5" s="256">
        <f>Q5*U5</f>
        <v>0</v>
      </c>
      <c r="Y5" s="669">
        <f>R5*U5</f>
        <v>0</v>
      </c>
      <c r="Z5" s="669">
        <f>S5*U5</f>
        <v>0</v>
      </c>
      <c r="AA5" s="257">
        <f>T5*U5</f>
        <v>0</v>
      </c>
      <c r="AB5" s="256">
        <f>Q5*V5</f>
        <v>0</v>
      </c>
      <c r="AC5" s="669">
        <f>R5*V5</f>
        <v>0</v>
      </c>
      <c r="AD5" s="669">
        <f>S5*V5</f>
        <v>0</v>
      </c>
      <c r="AE5" s="257">
        <f>T5*V5</f>
        <v>0</v>
      </c>
      <c r="AF5" s="256">
        <f>Q5*W5</f>
        <v>0</v>
      </c>
      <c r="AG5" s="669">
        <f>R5*W5</f>
        <v>0</v>
      </c>
      <c r="AH5" s="669">
        <f>S5*W5</f>
        <v>0</v>
      </c>
      <c r="AI5" s="257">
        <f>T5*W5</f>
        <v>0</v>
      </c>
      <c r="AK5" s="162" t="s">
        <v>426</v>
      </c>
      <c r="AL5" s="162"/>
      <c r="AM5" s="162"/>
      <c r="AO5" s="360" t="s">
        <v>681</v>
      </c>
      <c r="AP5" s="359">
        <v>5</v>
      </c>
      <c r="AQ5" s="359">
        <v>5</v>
      </c>
      <c r="AR5" s="359">
        <v>5</v>
      </c>
      <c r="AS5" s="359">
        <v>5</v>
      </c>
      <c r="AT5" s="359">
        <v>3</v>
      </c>
      <c r="AU5" s="359">
        <v>3</v>
      </c>
      <c r="AW5" s="369" t="s">
        <v>11</v>
      </c>
      <c r="AX5" s="369" t="s">
        <v>646</v>
      </c>
      <c r="AY5" s="369" t="s">
        <v>143</v>
      </c>
      <c r="AZ5" s="369" t="str">
        <f>AW5&amp;AX5&amp;AY5</f>
        <v>AlsaceAgrumesClémentinier</v>
      </c>
      <c r="BB5" s="396" t="s">
        <v>683</v>
      </c>
      <c r="BC5" s="396" t="s">
        <v>761</v>
      </c>
      <c r="BD5" s="396">
        <v>82</v>
      </c>
      <c r="BE5" s="396" t="s">
        <v>32</v>
      </c>
      <c r="BF5" s="396"/>
      <c r="BG5" s="396" t="s">
        <v>54</v>
      </c>
      <c r="BH5" s="436" t="s">
        <v>916</v>
      </c>
      <c r="BI5" s="396" t="str">
        <f t="shared" ref="BI5:BI36" si="0">TRIM(BC5&amp;" "&amp;BF5)</f>
        <v>Ain</v>
      </c>
      <c r="BK5" s="559" t="s">
        <v>2561</v>
      </c>
      <c r="BL5" s="559" t="s">
        <v>2562</v>
      </c>
      <c r="BP5" s="458" t="str">
        <f>IF(Identification!F22="","N",Identification!F22)</f>
        <v>N</v>
      </c>
      <c r="BQ5" t="s">
        <v>2333</v>
      </c>
    </row>
    <row r="6" spans="2:69" x14ac:dyDescent="0.25">
      <c r="B6" s="72" t="s">
        <v>216</v>
      </c>
      <c r="C6" s="40" t="s">
        <v>214</v>
      </c>
      <c r="D6" s="40" t="s">
        <v>214</v>
      </c>
      <c r="E6" s="443" t="s">
        <v>215</v>
      </c>
      <c r="F6" s="40">
        <v>10</v>
      </c>
      <c r="G6" s="40">
        <v>2</v>
      </c>
      <c r="H6" s="40" t="s">
        <v>250</v>
      </c>
      <c r="J6" s="40" t="s">
        <v>237</v>
      </c>
      <c r="K6" s="40">
        <v>1</v>
      </c>
      <c r="L6" s="72">
        <v>4</v>
      </c>
      <c r="M6" s="72">
        <v>4.9999900000000004</v>
      </c>
      <c r="N6" s="6"/>
      <c r="O6" s="1079"/>
      <c r="P6" s="6" t="s">
        <v>395</v>
      </c>
      <c r="Q6" s="158">
        <v>5</v>
      </c>
      <c r="R6" s="158">
        <v>50</v>
      </c>
      <c r="S6" s="158">
        <v>225</v>
      </c>
      <c r="T6" s="159">
        <v>1250</v>
      </c>
      <c r="U6" s="250">
        <f>Surfaces!O172</f>
        <v>0</v>
      </c>
      <c r="V6" s="251">
        <f>Surfaces!P172</f>
        <v>0</v>
      </c>
      <c r="W6" s="252">
        <f>Surfaces!Q172</f>
        <v>0</v>
      </c>
      <c r="X6" s="256">
        <f t="shared" ref="X6:X25" si="1">Q6*U6</f>
        <v>0</v>
      </c>
      <c r="Y6" s="669">
        <f t="shared" ref="Y6:Y25" si="2">R6*U6</f>
        <v>0</v>
      </c>
      <c r="Z6" s="669">
        <f t="shared" ref="Z6:Z25" si="3">S6*U6</f>
        <v>0</v>
      </c>
      <c r="AA6" s="257">
        <f t="shared" ref="AA6:AA25" si="4">T6*U6</f>
        <v>0</v>
      </c>
      <c r="AB6" s="256">
        <f t="shared" ref="AB6:AB25" si="5">Q6*V6</f>
        <v>0</v>
      </c>
      <c r="AC6" s="669">
        <f t="shared" ref="AC6:AC25" si="6">R6*V6</f>
        <v>0</v>
      </c>
      <c r="AD6" s="669">
        <f t="shared" ref="AD6:AD25" si="7">S6*V6</f>
        <v>0</v>
      </c>
      <c r="AE6" s="257">
        <f t="shared" ref="AE6:AE25" si="8">T6*V6</f>
        <v>0</v>
      </c>
      <c r="AF6" s="256">
        <f t="shared" ref="AF6:AF25" si="9">Q6*W6</f>
        <v>0</v>
      </c>
      <c r="AG6" s="669">
        <f t="shared" ref="AG6:AG25" si="10">R6*W6</f>
        <v>0</v>
      </c>
      <c r="AH6" s="669">
        <f t="shared" ref="AH6:AH25" si="11">S6*W6</f>
        <v>0</v>
      </c>
      <c r="AI6" s="257">
        <f t="shared" ref="AI6:AI25" si="12">T6*W6</f>
        <v>0</v>
      </c>
      <c r="AK6" s="162" t="s">
        <v>36</v>
      </c>
      <c r="AL6" s="369"/>
      <c r="AM6" s="369"/>
      <c r="AO6" s="361"/>
      <c r="AP6" s="362"/>
      <c r="AQ6" s="362"/>
      <c r="AR6" s="362"/>
      <c r="AS6" s="362"/>
      <c r="AT6" s="362"/>
      <c r="AU6" s="362"/>
      <c r="AW6" s="369" t="s">
        <v>11</v>
      </c>
      <c r="AX6" s="369" t="s">
        <v>178</v>
      </c>
      <c r="AY6" s="369" t="s">
        <v>170</v>
      </c>
      <c r="AZ6" s="369" t="str">
        <f>AW6&amp;AX6&amp;AY6</f>
        <v>AlsaceAutresPrunier</v>
      </c>
      <c r="BB6" s="396" t="s">
        <v>684</v>
      </c>
      <c r="BC6" s="396" t="s">
        <v>762</v>
      </c>
      <c r="BD6" s="396">
        <v>22</v>
      </c>
      <c r="BE6" s="396" t="s">
        <v>29</v>
      </c>
      <c r="BF6" s="396"/>
      <c r="BG6" s="396" t="s">
        <v>657</v>
      </c>
      <c r="BH6" s="436" t="s">
        <v>920</v>
      </c>
      <c r="BI6" s="396" t="str">
        <f t="shared" si="0"/>
        <v>Aisne</v>
      </c>
      <c r="BK6" s="387"/>
      <c r="BL6" s="387"/>
      <c r="BP6" t="str">
        <f>IF(cCampagneN="N","N-1",INT(LEFT(BP5,4)))</f>
        <v>N-1</v>
      </c>
    </row>
    <row r="7" spans="2:69" x14ac:dyDescent="0.25">
      <c r="B7" s="72" t="s">
        <v>217</v>
      </c>
      <c r="C7" s="40" t="s">
        <v>214</v>
      </c>
      <c r="D7" s="40" t="s">
        <v>214</v>
      </c>
      <c r="E7" s="40" t="s">
        <v>218</v>
      </c>
      <c r="F7" s="40">
        <v>30</v>
      </c>
      <c r="G7" s="40">
        <v>3</v>
      </c>
      <c r="H7" s="40" t="s">
        <v>250</v>
      </c>
      <c r="J7" s="40" t="s">
        <v>238</v>
      </c>
      <c r="K7" s="40">
        <v>2</v>
      </c>
      <c r="L7" s="72">
        <v>5</v>
      </c>
      <c r="M7" s="72">
        <v>5.9999900000000004</v>
      </c>
      <c r="N7" s="6"/>
      <c r="O7" s="1079"/>
      <c r="P7" s="6" t="s">
        <v>402</v>
      </c>
      <c r="Q7" s="158">
        <v>45</v>
      </c>
      <c r="R7" s="158">
        <v>60</v>
      </c>
      <c r="S7" s="158">
        <v>200</v>
      </c>
      <c r="T7" s="159">
        <v>400</v>
      </c>
      <c r="U7" s="250">
        <f>Surfaces!O173</f>
        <v>0</v>
      </c>
      <c r="V7" s="251">
        <f>Surfaces!P173</f>
        <v>0</v>
      </c>
      <c r="W7" s="252">
        <f>Surfaces!Q173</f>
        <v>0</v>
      </c>
      <c r="X7" s="256">
        <f t="shared" si="1"/>
        <v>0</v>
      </c>
      <c r="Y7" s="669">
        <f t="shared" si="2"/>
        <v>0</v>
      </c>
      <c r="Z7" s="669">
        <f t="shared" si="3"/>
        <v>0</v>
      </c>
      <c r="AA7" s="257">
        <f t="shared" si="4"/>
        <v>0</v>
      </c>
      <c r="AB7" s="256">
        <f t="shared" si="5"/>
        <v>0</v>
      </c>
      <c r="AC7" s="669">
        <f t="shared" si="6"/>
        <v>0</v>
      </c>
      <c r="AD7" s="669">
        <f t="shared" si="7"/>
        <v>0</v>
      </c>
      <c r="AE7" s="257">
        <f t="shared" si="8"/>
        <v>0</v>
      </c>
      <c r="AF7" s="256">
        <f t="shared" si="9"/>
        <v>0</v>
      </c>
      <c r="AG7" s="669">
        <f t="shared" si="10"/>
        <v>0</v>
      </c>
      <c r="AH7" s="669">
        <f t="shared" si="11"/>
        <v>0</v>
      </c>
      <c r="AI7" s="257">
        <f t="shared" si="12"/>
        <v>0</v>
      </c>
      <c r="AK7" s="162" t="s">
        <v>314</v>
      </c>
      <c r="AL7" s="369"/>
      <c r="AM7" s="369"/>
      <c r="AO7" s="357" t="s">
        <v>2431</v>
      </c>
      <c r="AP7" s="358">
        <v>0</v>
      </c>
      <c r="AQ7" s="358">
        <v>0</v>
      </c>
      <c r="AR7" s="358">
        <v>0</v>
      </c>
      <c r="AS7" s="358">
        <v>0</v>
      </c>
      <c r="AT7" s="358">
        <v>0</v>
      </c>
      <c r="AU7" s="358">
        <v>0</v>
      </c>
      <c r="AW7" s="369" t="s">
        <v>11</v>
      </c>
      <c r="AX7" s="369" t="s">
        <v>140</v>
      </c>
      <c r="AY7" s="369" t="s">
        <v>140</v>
      </c>
      <c r="AZ7" s="369" t="str">
        <f t="shared" ref="AZ7:AZ69" si="13">AW7&amp;AX7&amp;AY7</f>
        <v>AlsaceCerisierCerisier</v>
      </c>
      <c r="BB7" s="396" t="s">
        <v>691</v>
      </c>
      <c r="BC7" s="396" t="s">
        <v>763</v>
      </c>
      <c r="BD7" s="396">
        <v>83</v>
      </c>
      <c r="BE7" s="396" t="s">
        <v>13</v>
      </c>
      <c r="BF7" s="396"/>
      <c r="BG7" s="396" t="s">
        <v>665</v>
      </c>
      <c r="BH7" s="436" t="s">
        <v>916</v>
      </c>
      <c r="BI7" s="396" t="str">
        <f t="shared" si="0"/>
        <v>Allier</v>
      </c>
      <c r="BK7" s="387"/>
      <c r="BL7" s="387"/>
      <c r="BP7" t="str">
        <f>IF(cCampagneN="N","N-2",INT(RIGHT(BP5,2)))</f>
        <v>N-2</v>
      </c>
    </row>
    <row r="8" spans="2:69" x14ac:dyDescent="0.25">
      <c r="B8" s="72" t="s">
        <v>219</v>
      </c>
      <c r="C8" s="40" t="s">
        <v>214</v>
      </c>
      <c r="D8" s="40" t="s">
        <v>214</v>
      </c>
      <c r="E8" s="40" t="s">
        <v>2348</v>
      </c>
      <c r="F8" s="40">
        <v>1.5</v>
      </c>
      <c r="G8" s="40">
        <v>4</v>
      </c>
      <c r="H8" s="40" t="s">
        <v>250</v>
      </c>
      <c r="J8" s="40" t="s">
        <v>239</v>
      </c>
      <c r="K8" s="40">
        <v>3</v>
      </c>
      <c r="L8" s="72">
        <v>6</v>
      </c>
      <c r="M8" s="72">
        <v>6.9999900000000004</v>
      </c>
      <c r="N8" s="6"/>
      <c r="O8" s="1079"/>
      <c r="P8" s="6" t="s">
        <v>403</v>
      </c>
      <c r="Q8" s="668">
        <v>5</v>
      </c>
      <c r="R8" s="668">
        <v>50</v>
      </c>
      <c r="S8" s="668">
        <v>225</v>
      </c>
      <c r="T8" s="159">
        <v>1250</v>
      </c>
      <c r="U8" s="250">
        <f>Surfaces!O174</f>
        <v>0</v>
      </c>
      <c r="V8" s="679">
        <f>Surfaces!P174</f>
        <v>0</v>
      </c>
      <c r="W8" s="680">
        <f>Surfaces!Q174</f>
        <v>0</v>
      </c>
      <c r="X8" s="256">
        <f t="shared" si="1"/>
        <v>0</v>
      </c>
      <c r="Y8" s="669">
        <f t="shared" si="2"/>
        <v>0</v>
      </c>
      <c r="Z8" s="669">
        <f t="shared" si="3"/>
        <v>0</v>
      </c>
      <c r="AA8" s="257">
        <f t="shared" si="4"/>
        <v>0</v>
      </c>
      <c r="AB8" s="256">
        <f t="shared" si="5"/>
        <v>0</v>
      </c>
      <c r="AC8" s="669">
        <f t="shared" si="6"/>
        <v>0</v>
      </c>
      <c r="AD8" s="669">
        <f t="shared" si="7"/>
        <v>0</v>
      </c>
      <c r="AE8" s="257">
        <f t="shared" si="8"/>
        <v>0</v>
      </c>
      <c r="AF8" s="256">
        <f t="shared" si="9"/>
        <v>0</v>
      </c>
      <c r="AG8" s="669">
        <f t="shared" si="10"/>
        <v>0</v>
      </c>
      <c r="AH8" s="669">
        <f t="shared" si="11"/>
        <v>0</v>
      </c>
      <c r="AI8" s="257">
        <f t="shared" si="12"/>
        <v>0</v>
      </c>
      <c r="AO8" s="357" t="s">
        <v>676</v>
      </c>
      <c r="AP8" s="358">
        <f t="shared" ref="AP8:AU8" si="14">AP$5*1/5</f>
        <v>1</v>
      </c>
      <c r="AQ8" s="358">
        <f t="shared" si="14"/>
        <v>1</v>
      </c>
      <c r="AR8" s="358">
        <f t="shared" si="14"/>
        <v>1</v>
      </c>
      <c r="AS8" s="358">
        <f t="shared" si="14"/>
        <v>1</v>
      </c>
      <c r="AT8" s="358">
        <f t="shared" si="14"/>
        <v>0.6</v>
      </c>
      <c r="AU8" s="358">
        <f t="shared" si="14"/>
        <v>0.6</v>
      </c>
      <c r="AW8" s="369" t="s">
        <v>11</v>
      </c>
      <c r="AX8" s="369" t="s">
        <v>153</v>
      </c>
      <c r="AY8" s="369" t="s">
        <v>153</v>
      </c>
      <c r="AZ8" s="369" t="str">
        <f t="shared" si="13"/>
        <v>AlsaceMirabellierMirabellier</v>
      </c>
      <c r="BB8" s="396" t="s">
        <v>687</v>
      </c>
      <c r="BC8" s="396" t="s">
        <v>764</v>
      </c>
      <c r="BD8" s="396">
        <v>93</v>
      </c>
      <c r="BE8" s="396" t="s">
        <v>31</v>
      </c>
      <c r="BF8" s="396"/>
      <c r="BG8" s="396" t="s">
        <v>661</v>
      </c>
      <c r="BH8" s="436" t="s">
        <v>31</v>
      </c>
      <c r="BI8" s="396" t="str">
        <f t="shared" si="0"/>
        <v>Alpes-de-Haute-Provence</v>
      </c>
      <c r="BK8" s="387"/>
      <c r="BL8" s="387"/>
      <c r="BP8" t="str">
        <f>IF(cCampagneN="N","N-1",BP6-1 &amp;"-"&amp;BP7-1)</f>
        <v>N-1</v>
      </c>
      <c r="BQ8" t="s">
        <v>2334</v>
      </c>
    </row>
    <row r="9" spans="2:69" x14ac:dyDescent="0.25">
      <c r="B9" s="72" t="s">
        <v>220</v>
      </c>
      <c r="C9" s="40" t="s">
        <v>214</v>
      </c>
      <c r="D9" s="40" t="s">
        <v>214</v>
      </c>
      <c r="E9" s="40" t="s">
        <v>2348</v>
      </c>
      <c r="F9" s="40">
        <v>1.5</v>
      </c>
      <c r="G9" s="40">
        <v>5</v>
      </c>
      <c r="H9" s="40" t="s">
        <v>251</v>
      </c>
      <c r="J9" s="40" t="s">
        <v>240</v>
      </c>
      <c r="K9" s="40">
        <v>4</v>
      </c>
      <c r="L9" s="72">
        <v>7</v>
      </c>
      <c r="M9" s="72">
        <v>7.9999900000000004</v>
      </c>
      <c r="N9" s="6"/>
      <c r="O9" s="1079"/>
      <c r="P9" s="6" t="s">
        <v>396</v>
      </c>
      <c r="Q9" s="158">
        <v>8</v>
      </c>
      <c r="R9" s="158">
        <v>20</v>
      </c>
      <c r="S9" s="158">
        <v>200</v>
      </c>
      <c r="T9" s="159">
        <v>400</v>
      </c>
      <c r="U9" s="247">
        <f>Surfaces!O175</f>
        <v>0</v>
      </c>
      <c r="V9" s="248">
        <f>Surfaces!P175</f>
        <v>0</v>
      </c>
      <c r="W9" s="249">
        <f>Surfaces!Q175</f>
        <v>0</v>
      </c>
      <c r="X9" s="256">
        <f t="shared" si="1"/>
        <v>0</v>
      </c>
      <c r="Y9" s="669">
        <f t="shared" si="2"/>
        <v>0</v>
      </c>
      <c r="Z9" s="669">
        <f t="shared" si="3"/>
        <v>0</v>
      </c>
      <c r="AA9" s="257">
        <f t="shared" si="4"/>
        <v>0</v>
      </c>
      <c r="AB9" s="256">
        <f t="shared" si="5"/>
        <v>0</v>
      </c>
      <c r="AC9" s="669">
        <f t="shared" si="6"/>
        <v>0</v>
      </c>
      <c r="AD9" s="669">
        <f t="shared" si="7"/>
        <v>0</v>
      </c>
      <c r="AE9" s="257">
        <f t="shared" si="8"/>
        <v>0</v>
      </c>
      <c r="AF9" s="256">
        <f t="shared" si="9"/>
        <v>0</v>
      </c>
      <c r="AG9" s="669">
        <f t="shared" si="10"/>
        <v>0</v>
      </c>
      <c r="AH9" s="669">
        <f t="shared" si="11"/>
        <v>0</v>
      </c>
      <c r="AI9" s="257">
        <f t="shared" si="12"/>
        <v>0</v>
      </c>
      <c r="AK9" s="1081" t="s">
        <v>872</v>
      </c>
      <c r="AL9" s="1081"/>
      <c r="AM9" s="414">
        <v>2</v>
      </c>
      <c r="AO9" s="357" t="s">
        <v>677</v>
      </c>
      <c r="AP9" s="358">
        <f t="shared" ref="AP9:AU9" si="15">AP$5*2/5</f>
        <v>2</v>
      </c>
      <c r="AQ9" s="358">
        <f t="shared" si="15"/>
        <v>2</v>
      </c>
      <c r="AR9" s="358">
        <f t="shared" si="15"/>
        <v>2</v>
      </c>
      <c r="AS9" s="358">
        <f t="shared" si="15"/>
        <v>2</v>
      </c>
      <c r="AT9" s="358">
        <f t="shared" si="15"/>
        <v>1.2</v>
      </c>
      <c r="AU9" s="358">
        <f t="shared" si="15"/>
        <v>1.2</v>
      </c>
      <c r="AW9" s="369" t="s">
        <v>11</v>
      </c>
      <c r="AX9" s="369" t="s">
        <v>159</v>
      </c>
      <c r="AY9" s="369" t="s">
        <v>647</v>
      </c>
      <c r="AZ9" s="369" t="str">
        <f t="shared" si="13"/>
        <v>AlsaceNectarinierNectarinier-Pêcher</v>
      </c>
      <c r="BB9" s="396" t="s">
        <v>689</v>
      </c>
      <c r="BC9" s="396" t="s">
        <v>766</v>
      </c>
      <c r="BD9" s="396">
        <v>93</v>
      </c>
      <c r="BE9" s="396" t="s">
        <v>31</v>
      </c>
      <c r="BF9" s="396"/>
      <c r="BG9" s="396" t="s">
        <v>661</v>
      </c>
      <c r="BH9" s="436" t="s">
        <v>31</v>
      </c>
      <c r="BI9" s="396" t="str">
        <f t="shared" si="0"/>
        <v>Alpes-Maritimes</v>
      </c>
      <c r="BK9" s="387"/>
      <c r="BL9" s="387"/>
      <c r="BP9" t="str">
        <f>IF(cCampagneN="N","N-2",BP6-2 &amp;"-"&amp;BP7-2)</f>
        <v>N-2</v>
      </c>
      <c r="BQ9" t="s">
        <v>2335</v>
      </c>
    </row>
    <row r="10" spans="2:69" x14ac:dyDescent="0.25">
      <c r="B10" s="72" t="s">
        <v>221</v>
      </c>
      <c r="C10" s="40" t="s">
        <v>214</v>
      </c>
      <c r="D10" s="40" t="s">
        <v>214</v>
      </c>
      <c r="E10" s="443" t="s">
        <v>215</v>
      </c>
      <c r="F10" s="40">
        <v>10</v>
      </c>
      <c r="G10" s="40">
        <v>6</v>
      </c>
      <c r="H10" s="40" t="s">
        <v>251</v>
      </c>
      <c r="J10" s="40" t="s">
        <v>241</v>
      </c>
      <c r="K10" s="40">
        <v>5</v>
      </c>
      <c r="L10" s="72">
        <v>8</v>
      </c>
      <c r="M10" s="72">
        <v>8.9999900000000004</v>
      </c>
      <c r="N10" s="6"/>
      <c r="O10" s="1079"/>
      <c r="P10" s="6" t="s">
        <v>404</v>
      </c>
      <c r="Q10" s="158">
        <v>15</v>
      </c>
      <c r="R10" s="158">
        <v>25</v>
      </c>
      <c r="S10" s="158">
        <v>175</v>
      </c>
      <c r="T10" s="159">
        <v>600</v>
      </c>
      <c r="U10" s="250">
        <f>Surfaces!O176</f>
        <v>0</v>
      </c>
      <c r="V10" s="251">
        <f>Surfaces!P176</f>
        <v>0</v>
      </c>
      <c r="W10" s="252">
        <f>Surfaces!Q176</f>
        <v>0</v>
      </c>
      <c r="X10" s="256">
        <f t="shared" si="1"/>
        <v>0</v>
      </c>
      <c r="Y10" s="669">
        <f t="shared" si="2"/>
        <v>0</v>
      </c>
      <c r="Z10" s="669">
        <f t="shared" si="3"/>
        <v>0</v>
      </c>
      <c r="AA10" s="257">
        <f t="shared" si="4"/>
        <v>0</v>
      </c>
      <c r="AB10" s="256">
        <f t="shared" si="5"/>
        <v>0</v>
      </c>
      <c r="AC10" s="669">
        <f t="shared" si="6"/>
        <v>0</v>
      </c>
      <c r="AD10" s="669">
        <f t="shared" si="7"/>
        <v>0</v>
      </c>
      <c r="AE10" s="257">
        <f t="shared" si="8"/>
        <v>0</v>
      </c>
      <c r="AF10" s="256">
        <f t="shared" si="9"/>
        <v>0</v>
      </c>
      <c r="AG10" s="669">
        <f t="shared" si="10"/>
        <v>0</v>
      </c>
      <c r="AH10" s="669">
        <f t="shared" si="11"/>
        <v>0</v>
      </c>
      <c r="AI10" s="257">
        <f t="shared" si="12"/>
        <v>0</v>
      </c>
      <c r="AK10" s="1082" t="s">
        <v>873</v>
      </c>
      <c r="AL10" s="1083"/>
      <c r="AM10" s="1084"/>
      <c r="AO10" s="357" t="s">
        <v>678</v>
      </c>
      <c r="AP10" s="358">
        <f t="shared" ref="AP10:AU10" si="16">AP$5*3/5</f>
        <v>3</v>
      </c>
      <c r="AQ10" s="358">
        <f t="shared" si="16"/>
        <v>3</v>
      </c>
      <c r="AR10" s="358">
        <f t="shared" si="16"/>
        <v>3</v>
      </c>
      <c r="AS10" s="358">
        <f t="shared" si="16"/>
        <v>3</v>
      </c>
      <c r="AT10" s="358">
        <f t="shared" si="16"/>
        <v>1.8</v>
      </c>
      <c r="AU10" s="358">
        <f t="shared" si="16"/>
        <v>1.8</v>
      </c>
      <c r="AW10" s="369" t="s">
        <v>11</v>
      </c>
      <c r="AX10" s="369" t="s">
        <v>162</v>
      </c>
      <c r="AY10" s="369" t="s">
        <v>162</v>
      </c>
      <c r="AZ10" s="369" t="str">
        <f t="shared" si="13"/>
        <v>AlsaceNoyerNoyer</v>
      </c>
      <c r="BB10" s="396" t="s">
        <v>767</v>
      </c>
      <c r="BC10" s="396" t="s">
        <v>768</v>
      </c>
      <c r="BD10" s="396">
        <v>82</v>
      </c>
      <c r="BE10" s="396" t="s">
        <v>32</v>
      </c>
      <c r="BF10" s="396" t="s">
        <v>856</v>
      </c>
      <c r="BG10" s="396" t="s">
        <v>659</v>
      </c>
      <c r="BH10" s="436" t="s">
        <v>916</v>
      </c>
      <c r="BI10" s="396" t="str">
        <f t="shared" si="0"/>
        <v>Ardèche Partie nord</v>
      </c>
      <c r="BK10" s="387"/>
      <c r="BL10" s="387"/>
    </row>
    <row r="11" spans="2:69" x14ac:dyDescent="0.25">
      <c r="B11" s="72" t="s">
        <v>222</v>
      </c>
      <c r="C11" s="40" t="s">
        <v>214</v>
      </c>
      <c r="D11" s="40" t="s">
        <v>214</v>
      </c>
      <c r="E11" s="443" t="s">
        <v>215</v>
      </c>
      <c r="F11" s="40">
        <v>1</v>
      </c>
      <c r="G11" s="40">
        <v>7</v>
      </c>
      <c r="H11" s="40" t="s">
        <v>252</v>
      </c>
      <c r="J11" s="40" t="s">
        <v>242</v>
      </c>
      <c r="K11" s="40">
        <v>6</v>
      </c>
      <c r="L11" s="72">
        <v>9</v>
      </c>
      <c r="M11" s="72">
        <v>9.9999900000000004</v>
      </c>
      <c r="N11" s="6"/>
      <c r="O11" s="1079"/>
      <c r="P11" s="6" t="s">
        <v>397</v>
      </c>
      <c r="Q11" s="493">
        <v>20</v>
      </c>
      <c r="R11" s="493">
        <v>125</v>
      </c>
      <c r="S11" s="493">
        <v>800</v>
      </c>
      <c r="T11" s="159">
        <v>2000</v>
      </c>
      <c r="U11" s="250">
        <f>Surfaces!O177</f>
        <v>0</v>
      </c>
      <c r="V11" s="679">
        <f>Surfaces!P177</f>
        <v>0</v>
      </c>
      <c r="W11" s="680">
        <f>Surfaces!Q177</f>
        <v>0</v>
      </c>
      <c r="X11" s="256">
        <f t="shared" si="1"/>
        <v>0</v>
      </c>
      <c r="Y11" s="669">
        <f t="shared" si="2"/>
        <v>0</v>
      </c>
      <c r="Z11" s="669">
        <f t="shared" si="3"/>
        <v>0</v>
      </c>
      <c r="AA11" s="257">
        <f t="shared" si="4"/>
        <v>0</v>
      </c>
      <c r="AB11" s="256">
        <f t="shared" si="5"/>
        <v>0</v>
      </c>
      <c r="AC11" s="669">
        <f t="shared" si="6"/>
        <v>0</v>
      </c>
      <c r="AD11" s="669">
        <f t="shared" si="7"/>
        <v>0</v>
      </c>
      <c r="AE11" s="257">
        <f t="shared" si="8"/>
        <v>0</v>
      </c>
      <c r="AF11" s="256">
        <f t="shared" si="9"/>
        <v>0</v>
      </c>
      <c r="AG11" s="669">
        <f t="shared" si="10"/>
        <v>0</v>
      </c>
      <c r="AH11" s="669">
        <f t="shared" si="11"/>
        <v>0</v>
      </c>
      <c r="AI11" s="257">
        <f t="shared" si="12"/>
        <v>0</v>
      </c>
      <c r="AK11" s="1085" t="s">
        <v>874</v>
      </c>
      <c r="AL11" s="1086"/>
      <c r="AM11" s="1087"/>
      <c r="AO11" s="357" t="s">
        <v>679</v>
      </c>
      <c r="AP11" s="358">
        <f t="shared" ref="AP11:AU11" si="17">AP$5*4/5</f>
        <v>4</v>
      </c>
      <c r="AQ11" s="358">
        <f t="shared" si="17"/>
        <v>4</v>
      </c>
      <c r="AR11" s="358">
        <f t="shared" si="17"/>
        <v>4</v>
      </c>
      <c r="AS11" s="358">
        <f t="shared" si="17"/>
        <v>4</v>
      </c>
      <c r="AT11" s="358">
        <f t="shared" si="17"/>
        <v>2.4</v>
      </c>
      <c r="AU11" s="358">
        <f t="shared" si="17"/>
        <v>2.4</v>
      </c>
      <c r="AW11" s="369" t="s">
        <v>11</v>
      </c>
      <c r="AX11" s="369" t="s">
        <v>166</v>
      </c>
      <c r="AY11" s="369" t="s">
        <v>647</v>
      </c>
      <c r="AZ11" s="369" t="str">
        <f t="shared" si="13"/>
        <v>AlsacePêcherNectarinier-Pêcher</v>
      </c>
      <c r="BB11" s="396" t="s">
        <v>767</v>
      </c>
      <c r="BC11" s="396" t="s">
        <v>768</v>
      </c>
      <c r="BD11" s="396">
        <v>82</v>
      </c>
      <c r="BE11" s="396" t="s">
        <v>32</v>
      </c>
      <c r="BF11" s="396" t="s">
        <v>857</v>
      </c>
      <c r="BG11" s="396" t="s">
        <v>660</v>
      </c>
      <c r="BH11" s="436" t="s">
        <v>916</v>
      </c>
      <c r="BI11" s="396" t="str">
        <f t="shared" si="0"/>
        <v>Ardèche Partie sud</v>
      </c>
      <c r="BK11" s="387"/>
      <c r="BL11" s="387"/>
    </row>
    <row r="12" spans="2:69" ht="15.75" thickBot="1" x14ac:dyDescent="0.3">
      <c r="B12" s="72" t="s">
        <v>223</v>
      </c>
      <c r="C12" s="40" t="s">
        <v>214</v>
      </c>
      <c r="D12" s="40" t="s">
        <v>214</v>
      </c>
      <c r="E12" s="443" t="s">
        <v>215</v>
      </c>
      <c r="F12" s="40">
        <v>9</v>
      </c>
      <c r="G12" s="40">
        <v>8</v>
      </c>
      <c r="H12" s="40" t="s">
        <v>253</v>
      </c>
      <c r="J12" s="40" t="s">
        <v>243</v>
      </c>
      <c r="K12" s="40">
        <v>7</v>
      </c>
      <c r="L12" s="72">
        <v>10</v>
      </c>
      <c r="M12" s="72">
        <v>9999999</v>
      </c>
      <c r="N12" s="6"/>
      <c r="O12" s="1079"/>
      <c r="P12" s="219" t="s">
        <v>398</v>
      </c>
      <c r="Q12" s="220">
        <v>25</v>
      </c>
      <c r="R12" s="220">
        <v>60</v>
      </c>
      <c r="S12" s="220">
        <v>400</v>
      </c>
      <c r="T12" s="221">
        <v>900</v>
      </c>
      <c r="U12" s="520">
        <f>Surfaces!O178</f>
        <v>0</v>
      </c>
      <c r="V12" s="521">
        <f>Surfaces!P178</f>
        <v>0</v>
      </c>
      <c r="W12" s="522">
        <f>Surfaces!Q178</f>
        <v>0</v>
      </c>
      <c r="X12" s="261">
        <f t="shared" si="1"/>
        <v>0</v>
      </c>
      <c r="Y12" s="262">
        <f t="shared" si="2"/>
        <v>0</v>
      </c>
      <c r="Z12" s="262">
        <f t="shared" si="3"/>
        <v>0</v>
      </c>
      <c r="AA12" s="263">
        <f t="shared" si="4"/>
        <v>0</v>
      </c>
      <c r="AB12" s="261">
        <f t="shared" si="5"/>
        <v>0</v>
      </c>
      <c r="AC12" s="262">
        <f t="shared" si="6"/>
        <v>0</v>
      </c>
      <c r="AD12" s="262">
        <f t="shared" si="7"/>
        <v>0</v>
      </c>
      <c r="AE12" s="263">
        <f t="shared" si="8"/>
        <v>0</v>
      </c>
      <c r="AF12" s="261">
        <f t="shared" si="9"/>
        <v>0</v>
      </c>
      <c r="AG12" s="262">
        <f t="shared" si="10"/>
        <v>0</v>
      </c>
      <c r="AH12" s="262">
        <f t="shared" si="11"/>
        <v>0</v>
      </c>
      <c r="AI12" s="263">
        <f t="shared" si="12"/>
        <v>0</v>
      </c>
      <c r="AK12" s="1088" t="s">
        <v>875</v>
      </c>
      <c r="AL12" s="1089"/>
      <c r="AM12" s="1090"/>
      <c r="AO12" s="357" t="s">
        <v>2432</v>
      </c>
      <c r="AP12" s="358">
        <f t="shared" ref="AP12:AU12" si="18">AP$5*5/5</f>
        <v>5</v>
      </c>
      <c r="AQ12" s="358">
        <f t="shared" si="18"/>
        <v>5</v>
      </c>
      <c r="AR12" s="358">
        <f t="shared" si="18"/>
        <v>5</v>
      </c>
      <c r="AS12" s="358">
        <f t="shared" si="18"/>
        <v>5</v>
      </c>
      <c r="AT12" s="358">
        <f t="shared" si="18"/>
        <v>3</v>
      </c>
      <c r="AU12" s="358">
        <f t="shared" si="18"/>
        <v>3</v>
      </c>
      <c r="AW12" s="369" t="s">
        <v>11</v>
      </c>
      <c r="AX12" s="369" t="s">
        <v>167</v>
      </c>
      <c r="AY12" s="369" t="s">
        <v>167</v>
      </c>
      <c r="AZ12" s="369" t="str">
        <f t="shared" si="13"/>
        <v>AlsacePoirierPoirier</v>
      </c>
      <c r="BB12" s="396" t="s">
        <v>769</v>
      </c>
      <c r="BC12" s="396" t="s">
        <v>770</v>
      </c>
      <c r="BD12" s="396">
        <v>21</v>
      </c>
      <c r="BE12" s="396" t="s">
        <v>18</v>
      </c>
      <c r="BF12" s="396"/>
      <c r="BG12" s="396" t="s">
        <v>666</v>
      </c>
      <c r="BH12" s="436" t="s">
        <v>2326</v>
      </c>
      <c r="BI12" s="396" t="str">
        <f t="shared" si="0"/>
        <v>Ardennes</v>
      </c>
      <c r="BK12" s="387"/>
      <c r="BL12" s="387"/>
    </row>
    <row r="13" spans="2:69" ht="15" customHeight="1" thickTop="1" x14ac:dyDescent="0.25">
      <c r="B13" s="72" t="s">
        <v>224</v>
      </c>
      <c r="C13" s="40"/>
      <c r="D13" s="40" t="s">
        <v>214</v>
      </c>
      <c r="E13" s="443" t="s">
        <v>215</v>
      </c>
      <c r="F13" s="40">
        <v>9</v>
      </c>
      <c r="G13" s="40">
        <v>9</v>
      </c>
      <c r="H13" s="40" t="s">
        <v>253</v>
      </c>
      <c r="O13" s="1080" t="s">
        <v>410</v>
      </c>
      <c r="P13" s="6" t="s">
        <v>407</v>
      </c>
      <c r="Q13" s="158">
        <v>5</v>
      </c>
      <c r="R13" s="158">
        <v>25</v>
      </c>
      <c r="S13" s="158">
        <v>200</v>
      </c>
      <c r="T13" s="159">
        <v>500</v>
      </c>
      <c r="U13" s="247">
        <f>Surfaces!O180</f>
        <v>0</v>
      </c>
      <c r="V13" s="248">
        <f>Surfaces!P180</f>
        <v>0</v>
      </c>
      <c r="W13" s="249">
        <f>Surfaces!Q180</f>
        <v>0</v>
      </c>
      <c r="X13" s="256">
        <f t="shared" si="1"/>
        <v>0</v>
      </c>
      <c r="Y13" s="669">
        <f t="shared" si="2"/>
        <v>0</v>
      </c>
      <c r="Z13" s="669">
        <f t="shared" si="3"/>
        <v>0</v>
      </c>
      <c r="AA13" s="257">
        <f t="shared" si="4"/>
        <v>0</v>
      </c>
      <c r="AB13" s="256">
        <f t="shared" si="5"/>
        <v>0</v>
      </c>
      <c r="AC13" s="669">
        <f t="shared" si="6"/>
        <v>0</v>
      </c>
      <c r="AD13" s="669">
        <f t="shared" si="7"/>
        <v>0</v>
      </c>
      <c r="AE13" s="257">
        <f t="shared" si="8"/>
        <v>0</v>
      </c>
      <c r="AF13" s="256">
        <f t="shared" si="9"/>
        <v>0</v>
      </c>
      <c r="AG13" s="669">
        <f t="shared" si="10"/>
        <v>0</v>
      </c>
      <c r="AH13" s="669">
        <f t="shared" si="11"/>
        <v>0</v>
      </c>
      <c r="AI13" s="257">
        <f t="shared" si="12"/>
        <v>0</v>
      </c>
      <c r="AW13" s="369" t="s">
        <v>11</v>
      </c>
      <c r="AX13" s="369" t="s">
        <v>169</v>
      </c>
      <c r="AY13" s="369" t="s">
        <v>169</v>
      </c>
      <c r="AZ13" s="369" t="str">
        <f t="shared" si="13"/>
        <v>AlsacePommierPommier</v>
      </c>
      <c r="BB13" s="396" t="s">
        <v>690</v>
      </c>
      <c r="BC13" s="396" t="s">
        <v>771</v>
      </c>
      <c r="BD13" s="396">
        <v>73</v>
      </c>
      <c r="BE13" s="396" t="s">
        <v>26</v>
      </c>
      <c r="BF13" s="396"/>
      <c r="BG13" s="396" t="s">
        <v>663</v>
      </c>
      <c r="BH13" s="436" t="s">
        <v>923</v>
      </c>
      <c r="BI13" s="396" t="str">
        <f t="shared" si="0"/>
        <v>Ariège</v>
      </c>
      <c r="BK13" s="387"/>
      <c r="BL13" s="387"/>
    </row>
    <row r="14" spans="2:69" x14ac:dyDescent="0.25">
      <c r="B14" s="72" t="s">
        <v>225</v>
      </c>
      <c r="C14" s="40" t="s">
        <v>214</v>
      </c>
      <c r="D14" s="40" t="s">
        <v>214</v>
      </c>
      <c r="E14" s="443" t="s">
        <v>2348</v>
      </c>
      <c r="F14" s="40">
        <v>1</v>
      </c>
      <c r="G14" s="40">
        <v>10</v>
      </c>
      <c r="H14" s="40" t="s">
        <v>253</v>
      </c>
      <c r="O14" s="1080"/>
      <c r="P14" s="6" t="s">
        <v>408</v>
      </c>
      <c r="Q14" s="158">
        <v>8</v>
      </c>
      <c r="R14" s="158">
        <v>20</v>
      </c>
      <c r="S14" s="158">
        <v>100</v>
      </c>
      <c r="T14" s="159">
        <v>250</v>
      </c>
      <c r="U14" s="250">
        <f>Surfaces!O181</f>
        <v>0</v>
      </c>
      <c r="V14" s="251">
        <f>Surfaces!P181</f>
        <v>0</v>
      </c>
      <c r="W14" s="252">
        <f>Surfaces!Q181</f>
        <v>0</v>
      </c>
      <c r="X14" s="256">
        <f t="shared" si="1"/>
        <v>0</v>
      </c>
      <c r="Y14" s="669">
        <f t="shared" si="2"/>
        <v>0</v>
      </c>
      <c r="Z14" s="669">
        <f t="shared" si="3"/>
        <v>0</v>
      </c>
      <c r="AA14" s="257">
        <f t="shared" si="4"/>
        <v>0</v>
      </c>
      <c r="AB14" s="256">
        <f t="shared" si="5"/>
        <v>0</v>
      </c>
      <c r="AC14" s="669">
        <f t="shared" si="6"/>
        <v>0</v>
      </c>
      <c r="AD14" s="669">
        <f t="shared" si="7"/>
        <v>0</v>
      </c>
      <c r="AE14" s="257">
        <f t="shared" si="8"/>
        <v>0</v>
      </c>
      <c r="AF14" s="256">
        <f t="shared" si="9"/>
        <v>0</v>
      </c>
      <c r="AG14" s="669">
        <f t="shared" si="10"/>
        <v>0</v>
      </c>
      <c r="AH14" s="669">
        <f t="shared" si="11"/>
        <v>0</v>
      </c>
      <c r="AI14" s="257">
        <f t="shared" si="12"/>
        <v>0</v>
      </c>
      <c r="AW14" s="369" t="s">
        <v>11</v>
      </c>
      <c r="AX14" s="369" t="s">
        <v>170</v>
      </c>
      <c r="AY14" s="369" t="s">
        <v>170</v>
      </c>
      <c r="AZ14" s="369" t="str">
        <f t="shared" si="13"/>
        <v>AlsacePrunierPrunier</v>
      </c>
      <c r="BB14" s="396">
        <v>10</v>
      </c>
      <c r="BC14" s="396" t="s">
        <v>772</v>
      </c>
      <c r="BD14" s="396">
        <v>21</v>
      </c>
      <c r="BE14" s="396" t="s">
        <v>18</v>
      </c>
      <c r="BF14" s="396"/>
      <c r="BG14" s="396" t="s">
        <v>56</v>
      </c>
      <c r="BH14" s="436" t="s">
        <v>2326</v>
      </c>
      <c r="BI14" s="396" t="str">
        <f t="shared" si="0"/>
        <v>Aube</v>
      </c>
      <c r="BK14" s="387"/>
      <c r="BL14" s="387"/>
    </row>
    <row r="15" spans="2:69" x14ac:dyDescent="0.25">
      <c r="B15" s="72" t="s">
        <v>226</v>
      </c>
      <c r="C15" s="40" t="s">
        <v>214</v>
      </c>
      <c r="D15" s="40" t="s">
        <v>214</v>
      </c>
      <c r="E15" s="443" t="s">
        <v>2348</v>
      </c>
      <c r="F15" s="40">
        <v>1.5</v>
      </c>
      <c r="G15" s="40">
        <v>11</v>
      </c>
      <c r="H15" s="40" t="s">
        <v>253</v>
      </c>
      <c r="O15" s="1080"/>
      <c r="P15" s="6" t="s">
        <v>409</v>
      </c>
      <c r="Q15" s="158">
        <v>10</v>
      </c>
      <c r="R15" s="158">
        <v>25</v>
      </c>
      <c r="S15" s="158">
        <v>175</v>
      </c>
      <c r="T15" s="159">
        <v>325</v>
      </c>
      <c r="U15" s="250">
        <f>Surfaces!O182</f>
        <v>0</v>
      </c>
      <c r="V15" s="251">
        <f>Surfaces!P182</f>
        <v>0</v>
      </c>
      <c r="W15" s="252">
        <f>Surfaces!Q182</f>
        <v>0</v>
      </c>
      <c r="X15" s="256">
        <f t="shared" si="1"/>
        <v>0</v>
      </c>
      <c r="Y15" s="669">
        <f t="shared" si="2"/>
        <v>0</v>
      </c>
      <c r="Z15" s="669">
        <f t="shared" si="3"/>
        <v>0</v>
      </c>
      <c r="AA15" s="257">
        <f t="shared" si="4"/>
        <v>0</v>
      </c>
      <c r="AB15" s="256">
        <f t="shared" si="5"/>
        <v>0</v>
      </c>
      <c r="AC15" s="669">
        <f t="shared" si="6"/>
        <v>0</v>
      </c>
      <c r="AD15" s="669">
        <f t="shared" si="7"/>
        <v>0</v>
      </c>
      <c r="AE15" s="257">
        <f t="shared" si="8"/>
        <v>0</v>
      </c>
      <c r="AF15" s="256">
        <f t="shared" si="9"/>
        <v>0</v>
      </c>
      <c r="AG15" s="669">
        <f t="shared" si="10"/>
        <v>0</v>
      </c>
      <c r="AH15" s="669">
        <f t="shared" si="11"/>
        <v>0</v>
      </c>
      <c r="AI15" s="257">
        <f t="shared" si="12"/>
        <v>0</v>
      </c>
      <c r="AW15" s="369" t="s">
        <v>12</v>
      </c>
      <c r="AX15" s="369" t="s">
        <v>135</v>
      </c>
      <c r="AY15" s="369" t="s">
        <v>135</v>
      </c>
      <c r="AZ15" s="369" t="str">
        <f t="shared" si="13"/>
        <v>AquitaineAbricotierAbricotier</v>
      </c>
      <c r="BB15" s="396">
        <v>11</v>
      </c>
      <c r="BC15" s="396" t="s">
        <v>773</v>
      </c>
      <c r="BD15" s="396">
        <v>91</v>
      </c>
      <c r="BE15" s="396" t="s">
        <v>23</v>
      </c>
      <c r="BF15" s="396"/>
      <c r="BG15" s="396" t="s">
        <v>23</v>
      </c>
      <c r="BH15" s="436" t="s">
        <v>923</v>
      </c>
      <c r="BI15" s="396" t="str">
        <f t="shared" si="0"/>
        <v>Aude</v>
      </c>
      <c r="BK15" s="387"/>
      <c r="BL15" s="387"/>
    </row>
    <row r="16" spans="2:69" x14ac:dyDescent="0.25">
      <c r="B16" s="72" t="s">
        <v>227</v>
      </c>
      <c r="C16" s="40"/>
      <c r="D16" s="40" t="s">
        <v>214</v>
      </c>
      <c r="E16" s="443" t="s">
        <v>2348</v>
      </c>
      <c r="F16" s="40">
        <v>2</v>
      </c>
      <c r="G16" s="40">
        <v>12</v>
      </c>
      <c r="H16" s="40" t="s">
        <v>251</v>
      </c>
      <c r="O16" s="1080"/>
      <c r="P16" s="6" t="s">
        <v>395</v>
      </c>
      <c r="Q16" s="158">
        <v>5</v>
      </c>
      <c r="R16" s="158">
        <v>20</v>
      </c>
      <c r="S16" s="158">
        <v>150</v>
      </c>
      <c r="T16" s="159">
        <v>400</v>
      </c>
      <c r="U16" s="250">
        <f>Surfaces!O183</f>
        <v>0</v>
      </c>
      <c r="V16" s="251">
        <f>Surfaces!P183</f>
        <v>0</v>
      </c>
      <c r="W16" s="252">
        <f>Surfaces!Q183</f>
        <v>0</v>
      </c>
      <c r="X16" s="256">
        <f t="shared" si="1"/>
        <v>0</v>
      </c>
      <c r="Y16" s="669">
        <f t="shared" si="2"/>
        <v>0</v>
      </c>
      <c r="Z16" s="669">
        <f t="shared" si="3"/>
        <v>0</v>
      </c>
      <c r="AA16" s="257">
        <f t="shared" si="4"/>
        <v>0</v>
      </c>
      <c r="AB16" s="256">
        <f t="shared" si="5"/>
        <v>0</v>
      </c>
      <c r="AC16" s="669">
        <f t="shared" si="6"/>
        <v>0</v>
      </c>
      <c r="AD16" s="669">
        <f t="shared" si="7"/>
        <v>0</v>
      </c>
      <c r="AE16" s="257">
        <f t="shared" si="8"/>
        <v>0</v>
      </c>
      <c r="AF16" s="256">
        <f t="shared" si="9"/>
        <v>0</v>
      </c>
      <c r="AG16" s="669">
        <f t="shared" si="10"/>
        <v>0</v>
      </c>
      <c r="AH16" s="669">
        <f t="shared" si="11"/>
        <v>0</v>
      </c>
      <c r="AI16" s="257">
        <f t="shared" si="12"/>
        <v>0</v>
      </c>
      <c r="AW16" s="369" t="s">
        <v>12</v>
      </c>
      <c r="AX16" s="369" t="s">
        <v>646</v>
      </c>
      <c r="AY16" s="369" t="s">
        <v>143</v>
      </c>
      <c r="AZ16" s="369" t="str">
        <f t="shared" si="13"/>
        <v>AquitaineAgrumesClémentinier</v>
      </c>
      <c r="BB16" s="396">
        <v>12</v>
      </c>
      <c r="BC16" s="396" t="s">
        <v>774</v>
      </c>
      <c r="BD16" s="396">
        <v>73</v>
      </c>
      <c r="BE16" s="396" t="s">
        <v>26</v>
      </c>
      <c r="BF16" s="396"/>
      <c r="BG16" s="396" t="s">
        <v>663</v>
      </c>
      <c r="BH16" s="436" t="s">
        <v>923</v>
      </c>
      <c r="BI16" s="396" t="str">
        <f t="shared" si="0"/>
        <v>Aveyron</v>
      </c>
      <c r="BK16" s="387"/>
      <c r="BL16" s="387"/>
    </row>
    <row r="17" spans="2:64" x14ac:dyDescent="0.25">
      <c r="B17" s="72" t="s">
        <v>228</v>
      </c>
      <c r="C17" s="40"/>
      <c r="D17" s="40" t="s">
        <v>214</v>
      </c>
      <c r="E17" s="443" t="s">
        <v>2348</v>
      </c>
      <c r="F17" s="40">
        <v>3</v>
      </c>
      <c r="G17" s="40">
        <v>13</v>
      </c>
      <c r="H17" s="40" t="s">
        <v>250</v>
      </c>
      <c r="O17" s="1080"/>
      <c r="P17" s="6" t="s">
        <v>411</v>
      </c>
      <c r="Q17" s="158">
        <v>9</v>
      </c>
      <c r="R17" s="158">
        <v>30</v>
      </c>
      <c r="S17" s="158">
        <v>75</v>
      </c>
      <c r="T17" s="159">
        <v>200</v>
      </c>
      <c r="U17" s="250">
        <f>Surfaces!O184</f>
        <v>0</v>
      </c>
      <c r="V17" s="251">
        <f>Surfaces!P184</f>
        <v>0</v>
      </c>
      <c r="W17" s="252">
        <f>Surfaces!Q184</f>
        <v>0</v>
      </c>
      <c r="X17" s="256">
        <f t="shared" si="1"/>
        <v>0</v>
      </c>
      <c r="Y17" s="669">
        <f t="shared" si="2"/>
        <v>0</v>
      </c>
      <c r="Z17" s="669">
        <f t="shared" si="3"/>
        <v>0</v>
      </c>
      <c r="AA17" s="257">
        <f t="shared" si="4"/>
        <v>0</v>
      </c>
      <c r="AB17" s="256">
        <f t="shared" si="5"/>
        <v>0</v>
      </c>
      <c r="AC17" s="669">
        <f t="shared" si="6"/>
        <v>0</v>
      </c>
      <c r="AD17" s="669">
        <f t="shared" si="7"/>
        <v>0</v>
      </c>
      <c r="AE17" s="257">
        <f t="shared" si="8"/>
        <v>0</v>
      </c>
      <c r="AF17" s="256">
        <f t="shared" si="9"/>
        <v>0</v>
      </c>
      <c r="AG17" s="669">
        <f t="shared" si="10"/>
        <v>0</v>
      </c>
      <c r="AH17" s="669">
        <f t="shared" si="11"/>
        <v>0</v>
      </c>
      <c r="AI17" s="257">
        <f t="shared" si="12"/>
        <v>0</v>
      </c>
      <c r="AW17" s="369" t="s">
        <v>12</v>
      </c>
      <c r="AX17" s="369" t="s">
        <v>178</v>
      </c>
      <c r="AY17" s="369" t="s">
        <v>170</v>
      </c>
      <c r="AZ17" s="369" t="str">
        <f t="shared" si="13"/>
        <v>AquitaineAutresPrunier</v>
      </c>
      <c r="BB17" s="396">
        <v>67</v>
      </c>
      <c r="BC17" s="396" t="s">
        <v>821</v>
      </c>
      <c r="BD17" s="396">
        <v>42</v>
      </c>
      <c r="BE17" s="396" t="s">
        <v>11</v>
      </c>
      <c r="BF17" s="396"/>
      <c r="BG17" s="396" t="s">
        <v>11</v>
      </c>
      <c r="BH17" s="436" t="s">
        <v>2326</v>
      </c>
      <c r="BI17" s="396" t="str">
        <f t="shared" si="0"/>
        <v>Bas-Rhin</v>
      </c>
      <c r="BK17" s="387"/>
      <c r="BL17" s="387"/>
    </row>
    <row r="18" spans="2:64" x14ac:dyDescent="0.25">
      <c r="B18" s="72" t="s">
        <v>229</v>
      </c>
      <c r="C18" s="40"/>
      <c r="D18" s="40" t="s">
        <v>214</v>
      </c>
      <c r="E18" s="443" t="s">
        <v>215</v>
      </c>
      <c r="F18" s="40">
        <v>9</v>
      </c>
      <c r="G18" s="40">
        <v>14</v>
      </c>
      <c r="H18" s="40" t="s">
        <v>253</v>
      </c>
      <c r="O18" s="1080"/>
      <c r="P18" s="42" t="s">
        <v>2871</v>
      </c>
      <c r="Q18" s="158">
        <v>9</v>
      </c>
      <c r="R18" s="158">
        <v>30</v>
      </c>
      <c r="S18" s="158">
        <v>75</v>
      </c>
      <c r="T18" s="159">
        <v>200</v>
      </c>
      <c r="U18" s="250">
        <f>Surfaces!O185</f>
        <v>0</v>
      </c>
      <c r="V18" s="251">
        <f>Surfaces!P185</f>
        <v>0</v>
      </c>
      <c r="W18" s="252">
        <f>Surfaces!Q185</f>
        <v>0</v>
      </c>
      <c r="X18" s="256">
        <f t="shared" si="1"/>
        <v>0</v>
      </c>
      <c r="Y18" s="669">
        <f t="shared" si="2"/>
        <v>0</v>
      </c>
      <c r="Z18" s="669">
        <f t="shared" si="3"/>
        <v>0</v>
      </c>
      <c r="AA18" s="257">
        <f t="shared" si="4"/>
        <v>0</v>
      </c>
      <c r="AB18" s="256">
        <f t="shared" si="5"/>
        <v>0</v>
      </c>
      <c r="AC18" s="669">
        <f t="shared" si="6"/>
        <v>0</v>
      </c>
      <c r="AD18" s="669">
        <f t="shared" si="7"/>
        <v>0</v>
      </c>
      <c r="AE18" s="257">
        <f t="shared" si="8"/>
        <v>0</v>
      </c>
      <c r="AF18" s="256">
        <f t="shared" si="9"/>
        <v>0</v>
      </c>
      <c r="AG18" s="669">
        <f t="shared" si="10"/>
        <v>0</v>
      </c>
      <c r="AH18" s="669">
        <f t="shared" si="11"/>
        <v>0</v>
      </c>
      <c r="AI18" s="257">
        <f t="shared" si="12"/>
        <v>0</v>
      </c>
      <c r="AW18" s="369" t="s">
        <v>12</v>
      </c>
      <c r="AX18" s="369" t="s">
        <v>140</v>
      </c>
      <c r="AY18" s="369" t="s">
        <v>140</v>
      </c>
      <c r="AZ18" s="369" t="str">
        <f t="shared" si="13"/>
        <v>AquitaineCerisierCerisier</v>
      </c>
      <c r="BB18" s="396">
        <v>13</v>
      </c>
      <c r="BC18" s="396" t="s">
        <v>62</v>
      </c>
      <c r="BD18" s="396">
        <v>93</v>
      </c>
      <c r="BE18" s="396" t="s">
        <v>31</v>
      </c>
      <c r="BF18" s="396"/>
      <c r="BG18" s="396" t="s">
        <v>62</v>
      </c>
      <c r="BH18" s="436" t="s">
        <v>31</v>
      </c>
      <c r="BI18" s="396" t="str">
        <f t="shared" si="0"/>
        <v>Bouches-du-Rhône</v>
      </c>
      <c r="BK18" s="387"/>
      <c r="BL18" s="387"/>
    </row>
    <row r="19" spans="2:64" x14ac:dyDescent="0.25">
      <c r="B19" s="72" t="s">
        <v>230</v>
      </c>
      <c r="C19" s="40"/>
      <c r="D19" s="40" t="s">
        <v>214</v>
      </c>
      <c r="E19" s="443" t="s">
        <v>2348</v>
      </c>
      <c r="F19" s="40">
        <v>1.5</v>
      </c>
      <c r="G19" s="40">
        <v>15</v>
      </c>
      <c r="H19" s="40" t="s">
        <v>253</v>
      </c>
      <c r="O19" s="1080"/>
      <c r="P19" s="6" t="s">
        <v>412</v>
      </c>
      <c r="Q19" s="158">
        <v>10</v>
      </c>
      <c r="R19" s="158">
        <v>45</v>
      </c>
      <c r="S19" s="158">
        <v>200</v>
      </c>
      <c r="T19" s="159">
        <v>700</v>
      </c>
      <c r="U19" s="250">
        <f>Surfaces!O186</f>
        <v>0</v>
      </c>
      <c r="V19" s="251">
        <f>Surfaces!P186</f>
        <v>0</v>
      </c>
      <c r="W19" s="252">
        <f>Surfaces!Q186</f>
        <v>0</v>
      </c>
      <c r="X19" s="256">
        <f t="shared" si="1"/>
        <v>0</v>
      </c>
      <c r="Y19" s="669">
        <f t="shared" si="2"/>
        <v>0</v>
      </c>
      <c r="Z19" s="669">
        <f t="shared" si="3"/>
        <v>0</v>
      </c>
      <c r="AA19" s="257">
        <f t="shared" si="4"/>
        <v>0</v>
      </c>
      <c r="AB19" s="256">
        <f t="shared" si="5"/>
        <v>0</v>
      </c>
      <c r="AC19" s="669">
        <f t="shared" si="6"/>
        <v>0</v>
      </c>
      <c r="AD19" s="669">
        <f t="shared" si="7"/>
        <v>0</v>
      </c>
      <c r="AE19" s="257">
        <f t="shared" si="8"/>
        <v>0</v>
      </c>
      <c r="AF19" s="256">
        <f t="shared" si="9"/>
        <v>0</v>
      </c>
      <c r="AG19" s="669">
        <f t="shared" si="10"/>
        <v>0</v>
      </c>
      <c r="AH19" s="669">
        <f t="shared" si="11"/>
        <v>0</v>
      </c>
      <c r="AI19" s="257">
        <f t="shared" si="12"/>
        <v>0</v>
      </c>
      <c r="AW19" s="369" t="s">
        <v>12</v>
      </c>
      <c r="AX19" s="369" t="s">
        <v>153</v>
      </c>
      <c r="AY19" s="369" t="s">
        <v>153</v>
      </c>
      <c r="AZ19" s="369" t="str">
        <f t="shared" si="13"/>
        <v>AquitaineMirabellierMirabellier</v>
      </c>
      <c r="BB19" s="396">
        <v>14</v>
      </c>
      <c r="BC19" s="396" t="s">
        <v>775</v>
      </c>
      <c r="BD19" s="396">
        <v>25</v>
      </c>
      <c r="BE19" s="396" t="s">
        <v>14</v>
      </c>
      <c r="BF19" s="396"/>
      <c r="BG19" s="396" t="s">
        <v>666</v>
      </c>
      <c r="BH19" s="436" t="s">
        <v>921</v>
      </c>
      <c r="BI19" s="396" t="str">
        <f t="shared" si="0"/>
        <v>Calvados</v>
      </c>
      <c r="BK19" s="387"/>
      <c r="BL19" s="387"/>
    </row>
    <row r="20" spans="2:64" x14ac:dyDescent="0.25">
      <c r="B20" s="72" t="s">
        <v>231</v>
      </c>
      <c r="C20" s="40"/>
      <c r="D20" s="40" t="s">
        <v>214</v>
      </c>
      <c r="E20" s="443" t="s">
        <v>215</v>
      </c>
      <c r="F20" s="40">
        <v>9</v>
      </c>
      <c r="G20" s="40">
        <v>16</v>
      </c>
      <c r="H20" s="40" t="s">
        <v>253</v>
      </c>
      <c r="O20" s="1080"/>
      <c r="P20" s="42" t="s">
        <v>413</v>
      </c>
      <c r="Q20" s="158">
        <v>3</v>
      </c>
      <c r="R20" s="158">
        <v>15</v>
      </c>
      <c r="S20" s="158">
        <v>30</v>
      </c>
      <c r="T20" s="159">
        <v>150</v>
      </c>
      <c r="U20" s="250">
        <f>Surfaces!O187</f>
        <v>0</v>
      </c>
      <c r="V20" s="251">
        <f>Surfaces!P187</f>
        <v>0</v>
      </c>
      <c r="W20" s="252">
        <f>Surfaces!Q187</f>
        <v>0</v>
      </c>
      <c r="X20" s="256">
        <f t="shared" si="1"/>
        <v>0</v>
      </c>
      <c r="Y20" s="669">
        <f t="shared" si="2"/>
        <v>0</v>
      </c>
      <c r="Z20" s="669">
        <f t="shared" si="3"/>
        <v>0</v>
      </c>
      <c r="AA20" s="257">
        <f t="shared" si="4"/>
        <v>0</v>
      </c>
      <c r="AB20" s="256">
        <f t="shared" si="5"/>
        <v>0</v>
      </c>
      <c r="AC20" s="669">
        <f t="shared" si="6"/>
        <v>0</v>
      </c>
      <c r="AD20" s="669">
        <f t="shared" si="7"/>
        <v>0</v>
      </c>
      <c r="AE20" s="257">
        <f t="shared" si="8"/>
        <v>0</v>
      </c>
      <c r="AF20" s="256">
        <f t="shared" si="9"/>
        <v>0</v>
      </c>
      <c r="AG20" s="669">
        <f t="shared" si="10"/>
        <v>0</v>
      </c>
      <c r="AH20" s="669">
        <f t="shared" si="11"/>
        <v>0</v>
      </c>
      <c r="AI20" s="257">
        <f t="shared" si="12"/>
        <v>0</v>
      </c>
      <c r="AW20" s="369" t="s">
        <v>12</v>
      </c>
      <c r="AX20" s="369" t="s">
        <v>159</v>
      </c>
      <c r="AY20" s="369" t="s">
        <v>647</v>
      </c>
      <c r="AZ20" s="369" t="str">
        <f t="shared" si="13"/>
        <v>AquitaineNectarinierNectarinier-Pêcher</v>
      </c>
      <c r="BB20" s="396">
        <v>15</v>
      </c>
      <c r="BC20" s="396" t="s">
        <v>776</v>
      </c>
      <c r="BD20" s="396">
        <v>83</v>
      </c>
      <c r="BE20" s="396" t="s">
        <v>13</v>
      </c>
      <c r="BF20" s="396"/>
      <c r="BG20" s="396" t="s">
        <v>666</v>
      </c>
      <c r="BH20" s="436" t="s">
        <v>916</v>
      </c>
      <c r="BI20" s="396" t="str">
        <f t="shared" si="0"/>
        <v>Cantal</v>
      </c>
    </row>
    <row r="21" spans="2:64" x14ac:dyDescent="0.25">
      <c r="B21" s="468" t="s">
        <v>232</v>
      </c>
      <c r="C21" s="470"/>
      <c r="D21" s="443" t="s">
        <v>214</v>
      </c>
      <c r="E21" s="443" t="s">
        <v>2348</v>
      </c>
      <c r="F21" s="40">
        <v>1</v>
      </c>
      <c r="G21" s="40">
        <v>17</v>
      </c>
      <c r="H21" s="40" t="s">
        <v>253</v>
      </c>
      <c r="O21" s="1080"/>
      <c r="P21" s="42" t="s">
        <v>414</v>
      </c>
      <c r="Q21" s="158">
        <v>5</v>
      </c>
      <c r="R21" s="158">
        <v>20</v>
      </c>
      <c r="S21" s="158">
        <v>75</v>
      </c>
      <c r="T21" s="159">
        <v>200</v>
      </c>
      <c r="U21" s="250">
        <f>Surfaces!O188</f>
        <v>0</v>
      </c>
      <c r="V21" s="251">
        <f>Surfaces!P188</f>
        <v>0</v>
      </c>
      <c r="W21" s="252">
        <f>Surfaces!Q188</f>
        <v>0</v>
      </c>
      <c r="X21" s="256">
        <f t="shared" si="1"/>
        <v>0</v>
      </c>
      <c r="Y21" s="669">
        <f t="shared" si="2"/>
        <v>0</v>
      </c>
      <c r="Z21" s="669">
        <f t="shared" si="3"/>
        <v>0</v>
      </c>
      <c r="AA21" s="257">
        <f t="shared" si="4"/>
        <v>0</v>
      </c>
      <c r="AB21" s="256">
        <f t="shared" si="5"/>
        <v>0</v>
      </c>
      <c r="AC21" s="669">
        <f t="shared" si="6"/>
        <v>0</v>
      </c>
      <c r="AD21" s="669">
        <f t="shared" si="7"/>
        <v>0</v>
      </c>
      <c r="AE21" s="257">
        <f t="shared" si="8"/>
        <v>0</v>
      </c>
      <c r="AF21" s="256">
        <f t="shared" si="9"/>
        <v>0</v>
      </c>
      <c r="AG21" s="669">
        <f t="shared" si="10"/>
        <v>0</v>
      </c>
      <c r="AH21" s="669">
        <f t="shared" si="11"/>
        <v>0</v>
      </c>
      <c r="AI21" s="257">
        <f t="shared" si="12"/>
        <v>0</v>
      </c>
      <c r="AW21" s="369" t="s">
        <v>12</v>
      </c>
      <c r="AX21" s="369" t="s">
        <v>162</v>
      </c>
      <c r="AY21" s="369" t="s">
        <v>162</v>
      </c>
      <c r="AZ21" s="369" t="str">
        <f t="shared" si="13"/>
        <v>AquitaineNoyerNoyer</v>
      </c>
      <c r="BB21" s="396">
        <v>16</v>
      </c>
      <c r="BC21" s="396" t="s">
        <v>777</v>
      </c>
      <c r="BD21" s="396">
        <v>54</v>
      </c>
      <c r="BE21" s="396" t="s">
        <v>30</v>
      </c>
      <c r="BF21" s="396"/>
      <c r="BG21" s="396" t="s">
        <v>57</v>
      </c>
      <c r="BH21" s="436" t="s">
        <v>922</v>
      </c>
      <c r="BI21" s="396" t="str">
        <f t="shared" si="0"/>
        <v>Charente</v>
      </c>
    </row>
    <row r="22" spans="2:64" x14ac:dyDescent="0.25">
      <c r="B22" s="468" t="s">
        <v>2346</v>
      </c>
      <c r="C22" s="470"/>
      <c r="D22" s="443" t="s">
        <v>214</v>
      </c>
      <c r="E22" s="443" t="s">
        <v>215</v>
      </c>
      <c r="F22" s="40">
        <v>5</v>
      </c>
      <c r="G22" s="40">
        <v>18</v>
      </c>
      <c r="H22" s="40" t="s">
        <v>252</v>
      </c>
      <c r="O22" s="1080"/>
      <c r="P22" s="42" t="s">
        <v>415</v>
      </c>
      <c r="Q22" s="158">
        <v>5</v>
      </c>
      <c r="R22" s="158">
        <v>20</v>
      </c>
      <c r="S22" s="158">
        <v>75</v>
      </c>
      <c r="T22" s="159">
        <v>200</v>
      </c>
      <c r="U22" s="250">
        <f>Surfaces!O189</f>
        <v>0</v>
      </c>
      <c r="V22" s="251">
        <f>Surfaces!P189</f>
        <v>0</v>
      </c>
      <c r="W22" s="252">
        <f>Surfaces!Q189</f>
        <v>0</v>
      </c>
      <c r="X22" s="256">
        <f t="shared" si="1"/>
        <v>0</v>
      </c>
      <c r="Y22" s="669">
        <f t="shared" si="2"/>
        <v>0</v>
      </c>
      <c r="Z22" s="669">
        <f t="shared" si="3"/>
        <v>0</v>
      </c>
      <c r="AA22" s="257">
        <f t="shared" si="4"/>
        <v>0</v>
      </c>
      <c r="AB22" s="256">
        <f t="shared" si="5"/>
        <v>0</v>
      </c>
      <c r="AC22" s="669">
        <f t="shared" si="6"/>
        <v>0</v>
      </c>
      <c r="AD22" s="669">
        <f t="shared" si="7"/>
        <v>0</v>
      </c>
      <c r="AE22" s="257">
        <f t="shared" si="8"/>
        <v>0</v>
      </c>
      <c r="AF22" s="256">
        <f t="shared" si="9"/>
        <v>0</v>
      </c>
      <c r="AG22" s="669">
        <f t="shared" si="10"/>
        <v>0</v>
      </c>
      <c r="AH22" s="669">
        <f t="shared" si="11"/>
        <v>0</v>
      </c>
      <c r="AI22" s="257">
        <f t="shared" si="12"/>
        <v>0</v>
      </c>
      <c r="AW22" s="369" t="s">
        <v>12</v>
      </c>
      <c r="AX22" s="369" t="s">
        <v>166</v>
      </c>
      <c r="AY22" s="369" t="s">
        <v>647</v>
      </c>
      <c r="AZ22" s="369" t="str">
        <f t="shared" si="13"/>
        <v>AquitainePêcherNectarinier-Pêcher</v>
      </c>
      <c r="BB22" s="396">
        <v>17</v>
      </c>
      <c r="BC22" s="396" t="s">
        <v>778</v>
      </c>
      <c r="BD22" s="396">
        <v>54</v>
      </c>
      <c r="BE22" s="396" t="s">
        <v>30</v>
      </c>
      <c r="BF22" s="396"/>
      <c r="BG22" s="396" t="s">
        <v>57</v>
      </c>
      <c r="BH22" s="436" t="s">
        <v>922</v>
      </c>
      <c r="BI22" s="396" t="str">
        <f t="shared" si="0"/>
        <v>Charente-Maritime</v>
      </c>
    </row>
    <row r="23" spans="2:64" x14ac:dyDescent="0.25">
      <c r="B23" s="470" t="s">
        <v>2347</v>
      </c>
      <c r="C23" s="469"/>
      <c r="D23" s="443" t="s">
        <v>214</v>
      </c>
      <c r="E23" s="443" t="s">
        <v>215</v>
      </c>
      <c r="F23" s="443">
        <v>5</v>
      </c>
      <c r="G23" s="443">
        <v>19</v>
      </c>
      <c r="H23" s="443" t="s">
        <v>253</v>
      </c>
      <c r="O23" s="1080"/>
      <c r="P23" s="42" t="s">
        <v>416</v>
      </c>
      <c r="Q23" s="158">
        <v>5</v>
      </c>
      <c r="R23" s="158">
        <v>20</v>
      </c>
      <c r="S23" s="158">
        <v>100</v>
      </c>
      <c r="T23" s="159">
        <v>500</v>
      </c>
      <c r="U23" s="250">
        <f>Surfaces!O190</f>
        <v>0</v>
      </c>
      <c r="V23" s="251">
        <f>Surfaces!P190</f>
        <v>0</v>
      </c>
      <c r="W23" s="252">
        <f>Surfaces!Q190</f>
        <v>0</v>
      </c>
      <c r="X23" s="256">
        <f t="shared" si="1"/>
        <v>0</v>
      </c>
      <c r="Y23" s="669">
        <f t="shared" si="2"/>
        <v>0</v>
      </c>
      <c r="Z23" s="669">
        <f t="shared" si="3"/>
        <v>0</v>
      </c>
      <c r="AA23" s="257">
        <f t="shared" si="4"/>
        <v>0</v>
      </c>
      <c r="AB23" s="256">
        <f t="shared" si="5"/>
        <v>0</v>
      </c>
      <c r="AC23" s="669">
        <f t="shared" si="6"/>
        <v>0</v>
      </c>
      <c r="AD23" s="669">
        <f t="shared" si="7"/>
        <v>0</v>
      </c>
      <c r="AE23" s="257">
        <f t="shared" si="8"/>
        <v>0</v>
      </c>
      <c r="AF23" s="256">
        <f t="shared" si="9"/>
        <v>0</v>
      </c>
      <c r="AG23" s="669">
        <f t="shared" si="10"/>
        <v>0</v>
      </c>
      <c r="AH23" s="669">
        <f t="shared" si="11"/>
        <v>0</v>
      </c>
      <c r="AI23" s="257">
        <f t="shared" si="12"/>
        <v>0</v>
      </c>
      <c r="AW23" s="369" t="s">
        <v>12</v>
      </c>
      <c r="AX23" s="369" t="s">
        <v>167</v>
      </c>
      <c r="AY23" s="369" t="s">
        <v>167</v>
      </c>
      <c r="AZ23" s="369" t="str">
        <f t="shared" si="13"/>
        <v>AquitainePoirierPoirier</v>
      </c>
      <c r="BB23" s="396">
        <v>18</v>
      </c>
      <c r="BC23" s="396" t="s">
        <v>64</v>
      </c>
      <c r="BD23" s="396">
        <v>24</v>
      </c>
      <c r="BE23" s="396" t="s">
        <v>17</v>
      </c>
      <c r="BF23" s="396"/>
      <c r="BG23" s="396" t="s">
        <v>64</v>
      </c>
      <c r="BH23" s="436" t="s">
        <v>918</v>
      </c>
      <c r="BI23" s="396" t="str">
        <f t="shared" si="0"/>
        <v>Cher</v>
      </c>
    </row>
    <row r="24" spans="2:64" x14ac:dyDescent="0.25">
      <c r="B24" s="6"/>
      <c r="C24" s="192"/>
      <c r="D24" s="192"/>
      <c r="E24" s="192"/>
      <c r="F24" s="192"/>
      <c r="G24" s="192"/>
      <c r="H24" s="192"/>
      <c r="O24" s="1080"/>
      <c r="P24" s="42" t="s">
        <v>417</v>
      </c>
      <c r="Q24" s="158">
        <v>20</v>
      </c>
      <c r="R24" s="158">
        <v>40</v>
      </c>
      <c r="S24" s="158">
        <v>150</v>
      </c>
      <c r="T24" s="159">
        <v>400</v>
      </c>
      <c r="U24" s="250">
        <f>Surfaces!O191</f>
        <v>0</v>
      </c>
      <c r="V24" s="251">
        <f>Surfaces!P191</f>
        <v>0</v>
      </c>
      <c r="W24" s="252">
        <f>Surfaces!Q191</f>
        <v>0</v>
      </c>
      <c r="X24" s="256">
        <f t="shared" si="1"/>
        <v>0</v>
      </c>
      <c r="Y24" s="669">
        <f t="shared" si="2"/>
        <v>0</v>
      </c>
      <c r="Z24" s="669">
        <f t="shared" si="3"/>
        <v>0</v>
      </c>
      <c r="AA24" s="257">
        <f t="shared" si="4"/>
        <v>0</v>
      </c>
      <c r="AB24" s="256">
        <f t="shared" si="5"/>
        <v>0</v>
      </c>
      <c r="AC24" s="669">
        <f t="shared" si="6"/>
        <v>0</v>
      </c>
      <c r="AD24" s="669">
        <f t="shared" si="7"/>
        <v>0</v>
      </c>
      <c r="AE24" s="257">
        <f t="shared" si="8"/>
        <v>0</v>
      </c>
      <c r="AF24" s="256">
        <f t="shared" si="9"/>
        <v>0</v>
      </c>
      <c r="AG24" s="669">
        <f t="shared" si="10"/>
        <v>0</v>
      </c>
      <c r="AH24" s="669">
        <f t="shared" si="11"/>
        <v>0</v>
      </c>
      <c r="AI24" s="257">
        <f t="shared" si="12"/>
        <v>0</v>
      </c>
      <c r="AW24" s="369" t="s">
        <v>12</v>
      </c>
      <c r="AX24" s="369" t="s">
        <v>169</v>
      </c>
      <c r="AY24" s="369" t="s">
        <v>169</v>
      </c>
      <c r="AZ24" s="369" t="str">
        <f t="shared" si="13"/>
        <v>AquitainePommierPommier</v>
      </c>
      <c r="BB24" s="396">
        <v>19</v>
      </c>
      <c r="BC24" s="396" t="s">
        <v>779</v>
      </c>
      <c r="BD24" s="396">
        <v>74</v>
      </c>
      <c r="BE24" s="396" t="s">
        <v>24</v>
      </c>
      <c r="BF24" s="396"/>
      <c r="BG24" s="396" t="s">
        <v>666</v>
      </c>
      <c r="BH24" s="436" t="s">
        <v>922</v>
      </c>
      <c r="BI24" s="396" t="str">
        <f t="shared" si="0"/>
        <v>Corrèze</v>
      </c>
    </row>
    <row r="25" spans="2:64" ht="15.75" thickBot="1" x14ac:dyDescent="0.3">
      <c r="B25" s="6"/>
      <c r="C25" s="192"/>
      <c r="D25" s="192"/>
      <c r="E25" s="192"/>
      <c r="F25" s="192"/>
      <c r="G25" s="192"/>
      <c r="H25" s="192"/>
      <c r="O25" s="1080"/>
      <c r="P25" s="164" t="s">
        <v>418</v>
      </c>
      <c r="Q25" s="160">
        <v>5</v>
      </c>
      <c r="R25" s="160">
        <v>20</v>
      </c>
      <c r="S25" s="160">
        <v>150</v>
      </c>
      <c r="T25" s="161">
        <v>400</v>
      </c>
      <c r="U25" s="253">
        <f>Surfaces!O192</f>
        <v>0</v>
      </c>
      <c r="V25" s="254">
        <f>Surfaces!P192</f>
        <v>0</v>
      </c>
      <c r="W25" s="255">
        <f>Surfaces!Q192</f>
        <v>0</v>
      </c>
      <c r="X25" s="258">
        <f t="shared" si="1"/>
        <v>0</v>
      </c>
      <c r="Y25" s="259">
        <f t="shared" si="2"/>
        <v>0</v>
      </c>
      <c r="Z25" s="259">
        <f t="shared" si="3"/>
        <v>0</v>
      </c>
      <c r="AA25" s="260">
        <f t="shared" si="4"/>
        <v>0</v>
      </c>
      <c r="AB25" s="258">
        <f t="shared" si="5"/>
        <v>0</v>
      </c>
      <c r="AC25" s="259">
        <f t="shared" si="6"/>
        <v>0</v>
      </c>
      <c r="AD25" s="259">
        <f t="shared" si="7"/>
        <v>0</v>
      </c>
      <c r="AE25" s="260">
        <f t="shared" si="8"/>
        <v>0</v>
      </c>
      <c r="AF25" s="258">
        <f t="shared" si="9"/>
        <v>0</v>
      </c>
      <c r="AG25" s="259">
        <f t="shared" si="10"/>
        <v>0</v>
      </c>
      <c r="AH25" s="259">
        <f t="shared" si="11"/>
        <v>0</v>
      </c>
      <c r="AI25" s="260">
        <f t="shared" si="12"/>
        <v>0</v>
      </c>
      <c r="AW25" s="369" t="s">
        <v>12</v>
      </c>
      <c r="AX25" s="369" t="s">
        <v>170</v>
      </c>
      <c r="AY25" s="369" t="s">
        <v>170</v>
      </c>
      <c r="AZ25" s="369" t="str">
        <f t="shared" si="13"/>
        <v>AquitainePrunierPrunier</v>
      </c>
      <c r="BB25" s="396" t="s">
        <v>685</v>
      </c>
      <c r="BC25" s="396" t="s">
        <v>854</v>
      </c>
      <c r="BD25" s="396">
        <v>94</v>
      </c>
      <c r="BE25" s="396" t="s">
        <v>19</v>
      </c>
      <c r="BF25" s="396"/>
      <c r="BG25" s="396" t="s">
        <v>19</v>
      </c>
      <c r="BH25" s="436" t="s">
        <v>19</v>
      </c>
      <c r="BI25" s="396" t="str">
        <f t="shared" si="0"/>
        <v>Corse-du-Sud</v>
      </c>
    </row>
    <row r="26" spans="2:64" x14ac:dyDescent="0.25">
      <c r="O26" s="157"/>
      <c r="AW26" s="369" t="s">
        <v>13</v>
      </c>
      <c r="AX26" s="369" t="s">
        <v>135</v>
      </c>
      <c r="AY26" s="369" t="s">
        <v>135</v>
      </c>
      <c r="AZ26" s="369" t="str">
        <f t="shared" si="13"/>
        <v>AuvergneAbricotierAbricotier</v>
      </c>
      <c r="BB26" s="396">
        <v>21</v>
      </c>
      <c r="BC26" s="396" t="s">
        <v>780</v>
      </c>
      <c r="BD26" s="396">
        <v>26</v>
      </c>
      <c r="BE26" s="396" t="s">
        <v>15</v>
      </c>
      <c r="BF26" s="396"/>
      <c r="BG26" s="396" t="s">
        <v>15</v>
      </c>
      <c r="BH26" s="436" t="s">
        <v>917</v>
      </c>
      <c r="BI26" s="396" t="str">
        <f t="shared" si="0"/>
        <v>Côte-d'Or</v>
      </c>
    </row>
    <row r="27" spans="2:64" x14ac:dyDescent="0.25">
      <c r="O27" s="157"/>
      <c r="X27" s="194"/>
      <c r="Y27" s="194"/>
      <c r="Z27" s="194"/>
      <c r="AA27" s="194"/>
      <c r="AB27" s="230"/>
      <c r="AC27" s="230"/>
      <c r="AD27" s="230"/>
      <c r="AE27" s="230"/>
      <c r="AF27" s="230"/>
      <c r="AG27" s="230"/>
      <c r="AH27" s="230"/>
      <c r="AI27" s="230"/>
      <c r="AW27" s="369" t="s">
        <v>13</v>
      </c>
      <c r="AX27" s="369" t="s">
        <v>646</v>
      </c>
      <c r="AY27" s="369" t="s">
        <v>143</v>
      </c>
      <c r="AZ27" s="369" t="str">
        <f t="shared" si="13"/>
        <v>AuvergneAgrumesClémentinier</v>
      </c>
      <c r="BB27" s="396">
        <v>22</v>
      </c>
      <c r="BC27" s="396" t="s">
        <v>781</v>
      </c>
      <c r="BD27" s="396">
        <v>53</v>
      </c>
      <c r="BE27" s="396" t="s">
        <v>16</v>
      </c>
      <c r="BF27" s="396"/>
      <c r="BG27" s="396" t="s">
        <v>666</v>
      </c>
      <c r="BH27" s="436" t="s">
        <v>16</v>
      </c>
      <c r="BI27" s="396" t="str">
        <f t="shared" si="0"/>
        <v>Côtes-d'Armor</v>
      </c>
    </row>
    <row r="28" spans="2:64" x14ac:dyDescent="0.25">
      <c r="O28" s="157"/>
      <c r="AW28" s="369" t="s">
        <v>13</v>
      </c>
      <c r="AX28" s="369" t="s">
        <v>178</v>
      </c>
      <c r="AY28" s="369" t="s">
        <v>170</v>
      </c>
      <c r="AZ28" s="369" t="str">
        <f t="shared" si="13"/>
        <v>AuvergneAutresPrunier</v>
      </c>
      <c r="BB28" s="396">
        <v>23</v>
      </c>
      <c r="BC28" s="396" t="s">
        <v>782</v>
      </c>
      <c r="BD28" s="396">
        <v>74</v>
      </c>
      <c r="BE28" s="396" t="s">
        <v>24</v>
      </c>
      <c r="BF28" s="396"/>
      <c r="BG28" s="396" t="s">
        <v>666</v>
      </c>
      <c r="BH28" s="436" t="s">
        <v>922</v>
      </c>
      <c r="BI28" s="396" t="str">
        <f t="shared" si="0"/>
        <v>Creuse</v>
      </c>
    </row>
    <row r="29" spans="2:64" x14ac:dyDescent="0.25">
      <c r="O29" s="157"/>
      <c r="AW29" s="369" t="s">
        <v>13</v>
      </c>
      <c r="AX29" s="369" t="s">
        <v>140</v>
      </c>
      <c r="AY29" s="369" t="s">
        <v>140</v>
      </c>
      <c r="AZ29" s="369" t="str">
        <f t="shared" si="13"/>
        <v>AuvergneCerisierCerisier</v>
      </c>
      <c r="BB29" s="396">
        <v>79</v>
      </c>
      <c r="BC29" s="396" t="s">
        <v>835</v>
      </c>
      <c r="BD29" s="396">
        <v>54</v>
      </c>
      <c r="BE29" s="396" t="s">
        <v>30</v>
      </c>
      <c r="BF29" s="396"/>
      <c r="BG29" s="396" t="s">
        <v>665</v>
      </c>
      <c r="BH29" s="436" t="s">
        <v>922</v>
      </c>
      <c r="BI29" s="396" t="str">
        <f t="shared" si="0"/>
        <v>Deux-Sèvres</v>
      </c>
    </row>
    <row r="30" spans="2:64" x14ac:dyDescent="0.25">
      <c r="O30" s="157"/>
      <c r="AW30" s="369" t="s">
        <v>13</v>
      </c>
      <c r="AX30" s="369" t="s">
        <v>153</v>
      </c>
      <c r="AY30" s="369" t="s">
        <v>153</v>
      </c>
      <c r="AZ30" s="369" t="str">
        <f t="shared" si="13"/>
        <v>AuvergneMirabellierMirabellier</v>
      </c>
      <c r="BB30" s="396">
        <v>24</v>
      </c>
      <c r="BC30" s="396" t="s">
        <v>51</v>
      </c>
      <c r="BD30" s="396">
        <v>72</v>
      </c>
      <c r="BE30" s="396" t="s">
        <v>12</v>
      </c>
      <c r="BF30" s="396"/>
      <c r="BG30" s="396" t="s">
        <v>51</v>
      </c>
      <c r="BH30" s="436" t="s">
        <v>922</v>
      </c>
      <c r="BI30" s="396" t="str">
        <f t="shared" si="0"/>
        <v>Dordogne</v>
      </c>
    </row>
    <row r="31" spans="2:64" x14ac:dyDescent="0.25">
      <c r="AW31" s="369" t="s">
        <v>13</v>
      </c>
      <c r="AX31" s="369" t="s">
        <v>159</v>
      </c>
      <c r="AY31" s="369" t="s">
        <v>647</v>
      </c>
      <c r="AZ31" s="369" t="str">
        <f t="shared" si="13"/>
        <v>AuvergneNectarinierNectarinier-Pêcher</v>
      </c>
      <c r="BB31" s="396">
        <v>25</v>
      </c>
      <c r="BC31" s="396" t="s">
        <v>783</v>
      </c>
      <c r="BD31" s="396">
        <v>43</v>
      </c>
      <c r="BE31" s="396" t="s">
        <v>20</v>
      </c>
      <c r="BF31" s="396"/>
      <c r="BG31" s="396" t="s">
        <v>656</v>
      </c>
      <c r="BH31" s="436" t="s">
        <v>917</v>
      </c>
      <c r="BI31" s="396" t="str">
        <f t="shared" si="0"/>
        <v>Doubs</v>
      </c>
    </row>
    <row r="32" spans="2:64" x14ac:dyDescent="0.25">
      <c r="AW32" s="369" t="s">
        <v>13</v>
      </c>
      <c r="AX32" s="369" t="s">
        <v>162</v>
      </c>
      <c r="AY32" s="369" t="s">
        <v>162</v>
      </c>
      <c r="AZ32" s="369" t="str">
        <f t="shared" si="13"/>
        <v>AuvergneNoyerNoyer</v>
      </c>
      <c r="BB32" s="396">
        <v>26</v>
      </c>
      <c r="BC32" s="396" t="s">
        <v>784</v>
      </c>
      <c r="BD32" s="396">
        <v>82</v>
      </c>
      <c r="BE32" s="396" t="s">
        <v>32</v>
      </c>
      <c r="BF32" s="396" t="s">
        <v>856</v>
      </c>
      <c r="BG32" s="396" t="s">
        <v>659</v>
      </c>
      <c r="BH32" s="436" t="s">
        <v>916</v>
      </c>
      <c r="BI32" s="396" t="str">
        <f t="shared" si="0"/>
        <v>Drôme Partie nord</v>
      </c>
    </row>
    <row r="33" spans="17:61" x14ac:dyDescent="0.25">
      <c r="Q33" s="188"/>
      <c r="AW33" s="369" t="s">
        <v>13</v>
      </c>
      <c r="AX33" s="369" t="s">
        <v>166</v>
      </c>
      <c r="AY33" s="369" t="s">
        <v>647</v>
      </c>
      <c r="AZ33" s="369" t="str">
        <f t="shared" si="13"/>
        <v>AuvergnePêcherNectarinier-Pêcher</v>
      </c>
      <c r="BB33" s="396">
        <v>26</v>
      </c>
      <c r="BC33" s="396" t="s">
        <v>784</v>
      </c>
      <c r="BD33" s="396">
        <v>82</v>
      </c>
      <c r="BE33" s="396" t="s">
        <v>32</v>
      </c>
      <c r="BF33" s="396" t="s">
        <v>857</v>
      </c>
      <c r="BG33" s="396" t="s">
        <v>660</v>
      </c>
      <c r="BH33" s="436" t="s">
        <v>916</v>
      </c>
      <c r="BI33" s="396" t="str">
        <f t="shared" si="0"/>
        <v>Drôme Partie sud</v>
      </c>
    </row>
    <row r="34" spans="17:61" x14ac:dyDescent="0.25">
      <c r="S34" s="188"/>
      <c r="T34" s="188"/>
      <c r="U34" s="188"/>
      <c r="V34" s="188"/>
      <c r="W34" s="188"/>
      <c r="X34" s="188"/>
      <c r="Y34" s="188"/>
      <c r="Z34" s="188"/>
      <c r="AA34" s="188"/>
      <c r="AB34" s="188"/>
      <c r="AC34" s="188"/>
      <c r="AD34" s="188"/>
      <c r="AE34" s="188"/>
      <c r="AF34" s="188"/>
      <c r="AG34" s="188"/>
      <c r="AH34" s="188"/>
      <c r="AI34" s="188"/>
      <c r="AW34" s="369" t="s">
        <v>13</v>
      </c>
      <c r="AX34" s="369" t="s">
        <v>167</v>
      </c>
      <c r="AY34" s="369" t="s">
        <v>167</v>
      </c>
      <c r="AZ34" s="369" t="str">
        <f t="shared" si="13"/>
        <v>AuvergnePoirierPoirier</v>
      </c>
      <c r="BB34" s="396">
        <v>91</v>
      </c>
      <c r="BC34" s="396" t="s">
        <v>847</v>
      </c>
      <c r="BD34" s="396">
        <v>11</v>
      </c>
      <c r="BE34" s="396" t="s">
        <v>860</v>
      </c>
      <c r="BF34" s="396"/>
      <c r="BG34" s="396" t="s">
        <v>666</v>
      </c>
      <c r="BH34" s="436" t="s">
        <v>302</v>
      </c>
      <c r="BI34" s="396" t="str">
        <f t="shared" si="0"/>
        <v>Essonne</v>
      </c>
    </row>
    <row r="35" spans="17:61" x14ac:dyDescent="0.25">
      <c r="AW35" s="369" t="s">
        <v>13</v>
      </c>
      <c r="AX35" s="369" t="s">
        <v>169</v>
      </c>
      <c r="AY35" s="369" t="s">
        <v>169</v>
      </c>
      <c r="AZ35" s="369" t="str">
        <f t="shared" si="13"/>
        <v>AuvergnePommierPommier</v>
      </c>
      <c r="BB35" s="396">
        <v>27</v>
      </c>
      <c r="BC35" s="396" t="s">
        <v>785</v>
      </c>
      <c r="BD35" s="396">
        <v>23</v>
      </c>
      <c r="BE35" s="396" t="s">
        <v>21</v>
      </c>
      <c r="BF35" s="396"/>
      <c r="BG35" s="396" t="s">
        <v>666</v>
      </c>
      <c r="BH35" s="436" t="s">
        <v>921</v>
      </c>
      <c r="BI35" s="396" t="str">
        <f t="shared" si="0"/>
        <v>Eure</v>
      </c>
    </row>
    <row r="36" spans="17:61" x14ac:dyDescent="0.25">
      <c r="AW36" s="369" t="s">
        <v>13</v>
      </c>
      <c r="AX36" s="369" t="s">
        <v>170</v>
      </c>
      <c r="AY36" s="369" t="s">
        <v>170</v>
      </c>
      <c r="AZ36" s="369" t="str">
        <f t="shared" si="13"/>
        <v>AuvergnePrunierPrunier</v>
      </c>
      <c r="BB36" s="396">
        <v>28</v>
      </c>
      <c r="BC36" s="396" t="s">
        <v>786</v>
      </c>
      <c r="BD36" s="396">
        <v>24</v>
      </c>
      <c r="BE36" s="396" t="s">
        <v>17</v>
      </c>
      <c r="BF36" s="396"/>
      <c r="BG36" s="396" t="s">
        <v>666</v>
      </c>
      <c r="BH36" s="436" t="s">
        <v>918</v>
      </c>
      <c r="BI36" s="396" t="str">
        <f t="shared" si="0"/>
        <v>Eure-et-Loir</v>
      </c>
    </row>
    <row r="37" spans="17:61" x14ac:dyDescent="0.25">
      <c r="AW37" s="369" t="s">
        <v>14</v>
      </c>
      <c r="AX37" s="369" t="s">
        <v>135</v>
      </c>
      <c r="AY37" s="369" t="s">
        <v>135</v>
      </c>
      <c r="AZ37" s="369" t="str">
        <f t="shared" si="13"/>
        <v>Basse-NormandieAbricotierAbricotier</v>
      </c>
      <c r="BB37" s="396">
        <v>29</v>
      </c>
      <c r="BC37" s="396" t="s">
        <v>787</v>
      </c>
      <c r="BD37" s="396">
        <v>53</v>
      </c>
      <c r="BE37" s="396" t="s">
        <v>16</v>
      </c>
      <c r="BF37" s="396"/>
      <c r="BG37" s="396" t="s">
        <v>666</v>
      </c>
      <c r="BH37" s="436" t="s">
        <v>16</v>
      </c>
      <c r="BI37" s="396" t="str">
        <f t="shared" ref="BI37:BI68" si="19">TRIM(BC37&amp;" "&amp;BF37)</f>
        <v>Finistère</v>
      </c>
    </row>
    <row r="38" spans="17:61" x14ac:dyDescent="0.25">
      <c r="AW38" s="369" t="s">
        <v>14</v>
      </c>
      <c r="AX38" s="369" t="s">
        <v>646</v>
      </c>
      <c r="AY38" s="369" t="s">
        <v>143</v>
      </c>
      <c r="AZ38" s="369" t="str">
        <f t="shared" si="13"/>
        <v>Basse-NormandieAgrumesClémentinier</v>
      </c>
      <c r="BB38" s="396">
        <v>30</v>
      </c>
      <c r="BC38" s="396" t="s">
        <v>788</v>
      </c>
      <c r="BD38" s="396">
        <v>91</v>
      </c>
      <c r="BE38" s="396" t="s">
        <v>23</v>
      </c>
      <c r="BF38" s="396"/>
      <c r="BG38" s="579" t="s">
        <v>23</v>
      </c>
      <c r="BH38" s="436" t="s">
        <v>923</v>
      </c>
      <c r="BI38" s="396" t="str">
        <f t="shared" si="19"/>
        <v>Gard</v>
      </c>
    </row>
    <row r="39" spans="17:61" x14ac:dyDescent="0.25">
      <c r="AW39" s="369" t="s">
        <v>14</v>
      </c>
      <c r="AX39" s="369" t="s">
        <v>178</v>
      </c>
      <c r="AY39" s="369" t="s">
        <v>170</v>
      </c>
      <c r="AZ39" s="369" t="str">
        <f t="shared" si="13"/>
        <v>Basse-NormandieAutresPrunier</v>
      </c>
      <c r="BB39" s="396">
        <v>32</v>
      </c>
      <c r="BC39" s="396" t="s">
        <v>61</v>
      </c>
      <c r="BD39" s="396">
        <v>73</v>
      </c>
      <c r="BE39" s="396" t="s">
        <v>26</v>
      </c>
      <c r="BF39" s="396"/>
      <c r="BG39" s="396" t="s">
        <v>61</v>
      </c>
      <c r="BH39" s="436" t="s">
        <v>923</v>
      </c>
      <c r="BI39" s="396" t="str">
        <f t="shared" si="19"/>
        <v>Gers</v>
      </c>
    </row>
    <row r="40" spans="17:61" x14ac:dyDescent="0.25">
      <c r="AW40" s="369" t="s">
        <v>14</v>
      </c>
      <c r="AX40" s="369" t="s">
        <v>140</v>
      </c>
      <c r="AY40" s="369" t="s">
        <v>140</v>
      </c>
      <c r="AZ40" s="369" t="str">
        <f t="shared" si="13"/>
        <v>Basse-NormandieCerisierCerisier</v>
      </c>
      <c r="BB40" s="396">
        <v>33</v>
      </c>
      <c r="BC40" s="396" t="s">
        <v>790</v>
      </c>
      <c r="BD40" s="396">
        <v>72</v>
      </c>
      <c r="BE40" s="396" t="s">
        <v>12</v>
      </c>
      <c r="BF40" s="396"/>
      <c r="BG40" s="396" t="s">
        <v>50</v>
      </c>
      <c r="BH40" s="436" t="s">
        <v>922</v>
      </c>
      <c r="BI40" s="396" t="str">
        <f t="shared" si="19"/>
        <v>Gironde</v>
      </c>
    </row>
    <row r="41" spans="17:61" x14ac:dyDescent="0.25">
      <c r="AW41" s="369" t="s">
        <v>14</v>
      </c>
      <c r="AX41" s="369" t="s">
        <v>153</v>
      </c>
      <c r="AY41" s="369" t="s">
        <v>153</v>
      </c>
      <c r="AZ41" s="369" t="str">
        <f t="shared" si="13"/>
        <v>Basse-NormandieMirabellierMirabellier</v>
      </c>
      <c r="BB41" s="396">
        <v>971</v>
      </c>
      <c r="BC41" s="396" t="s">
        <v>294</v>
      </c>
      <c r="BD41" s="396">
        <v>1</v>
      </c>
      <c r="BE41" s="396" t="s">
        <v>294</v>
      </c>
      <c r="BF41" s="396"/>
      <c r="BG41" s="396"/>
      <c r="BH41" s="436" t="s">
        <v>294</v>
      </c>
      <c r="BI41" s="396" t="str">
        <f t="shared" si="19"/>
        <v>Guadeloupe</v>
      </c>
    </row>
    <row r="42" spans="17:61" x14ac:dyDescent="0.25">
      <c r="AW42" s="369" t="s">
        <v>14</v>
      </c>
      <c r="AX42" s="369" t="s">
        <v>159</v>
      </c>
      <c r="AY42" s="369" t="s">
        <v>647</v>
      </c>
      <c r="AZ42" s="369" t="str">
        <f t="shared" si="13"/>
        <v>Basse-NormandieNectarinierNectarinier-Pêcher</v>
      </c>
      <c r="BB42" s="396">
        <v>973</v>
      </c>
      <c r="BC42" s="396" t="s">
        <v>295</v>
      </c>
      <c r="BD42" s="396">
        <v>3</v>
      </c>
      <c r="BE42" s="396" t="s">
        <v>295</v>
      </c>
      <c r="BF42" s="396"/>
      <c r="BG42" s="396"/>
      <c r="BH42" s="436" t="s">
        <v>295</v>
      </c>
      <c r="BI42" s="396" t="str">
        <f t="shared" si="19"/>
        <v>Guyane</v>
      </c>
    </row>
    <row r="43" spans="17:61" x14ac:dyDescent="0.25">
      <c r="AW43" s="369" t="s">
        <v>14</v>
      </c>
      <c r="AX43" s="369" t="s">
        <v>162</v>
      </c>
      <c r="AY43" s="369" t="s">
        <v>162</v>
      </c>
      <c r="AZ43" s="369" t="str">
        <f t="shared" si="13"/>
        <v>Basse-NormandieNoyerNoyer</v>
      </c>
      <c r="BB43" s="396" t="s">
        <v>686</v>
      </c>
      <c r="BC43" s="396" t="s">
        <v>855</v>
      </c>
      <c r="BD43" s="396">
        <v>94</v>
      </c>
      <c r="BE43" s="396" t="s">
        <v>19</v>
      </c>
      <c r="BF43" s="396"/>
      <c r="BG43" s="396" t="s">
        <v>19</v>
      </c>
      <c r="BH43" s="436" t="s">
        <v>19</v>
      </c>
      <c r="BI43" s="396" t="str">
        <f t="shared" si="19"/>
        <v>Haute-Corse</v>
      </c>
    </row>
    <row r="44" spans="17:61" x14ac:dyDescent="0.25">
      <c r="AW44" s="369" t="s">
        <v>14</v>
      </c>
      <c r="AX44" s="369" t="s">
        <v>166</v>
      </c>
      <c r="AY44" s="369" t="s">
        <v>647</v>
      </c>
      <c r="AZ44" s="369" t="str">
        <f t="shared" si="13"/>
        <v>Basse-NormandiePêcherNectarinier-Pêcher</v>
      </c>
      <c r="BB44" s="396">
        <v>31</v>
      </c>
      <c r="BC44" s="396" t="s">
        <v>789</v>
      </c>
      <c r="BD44" s="396">
        <v>73</v>
      </c>
      <c r="BE44" s="396" t="s">
        <v>26</v>
      </c>
      <c r="BF44" s="396"/>
      <c r="BG44" s="396" t="s">
        <v>663</v>
      </c>
      <c r="BH44" s="436" t="s">
        <v>923</v>
      </c>
      <c r="BI44" s="396" t="str">
        <f t="shared" si="19"/>
        <v>Haute-Garonne</v>
      </c>
    </row>
    <row r="45" spans="17:61" x14ac:dyDescent="0.25">
      <c r="AW45" s="369" t="s">
        <v>14</v>
      </c>
      <c r="AX45" s="369" t="s">
        <v>167</v>
      </c>
      <c r="AY45" s="369" t="s">
        <v>167</v>
      </c>
      <c r="AZ45" s="369" t="str">
        <f t="shared" si="13"/>
        <v>Basse-NormandiePoirierPoirier</v>
      </c>
      <c r="BB45" s="396">
        <v>43</v>
      </c>
      <c r="BC45" s="396" t="s">
        <v>799</v>
      </c>
      <c r="BD45" s="396">
        <v>83</v>
      </c>
      <c r="BE45" s="396" t="s">
        <v>13</v>
      </c>
      <c r="BF45" s="396"/>
      <c r="BG45" s="396" t="s">
        <v>666</v>
      </c>
      <c r="BH45" s="436" t="s">
        <v>916</v>
      </c>
      <c r="BI45" s="396" t="str">
        <f t="shared" si="19"/>
        <v>Haute-Loire</v>
      </c>
    </row>
    <row r="46" spans="17:61" x14ac:dyDescent="0.25">
      <c r="AW46" s="369" t="s">
        <v>14</v>
      </c>
      <c r="AX46" s="369" t="s">
        <v>169</v>
      </c>
      <c r="AY46" s="369" t="s">
        <v>169</v>
      </c>
      <c r="AZ46" s="369" t="str">
        <f t="shared" si="13"/>
        <v>Basse-NormandiePommierPommier</v>
      </c>
      <c r="BB46" s="396">
        <v>52</v>
      </c>
      <c r="BC46" s="396" t="s">
        <v>807</v>
      </c>
      <c r="BD46" s="396">
        <v>21</v>
      </c>
      <c r="BE46" s="396" t="s">
        <v>18</v>
      </c>
      <c r="BF46" s="396"/>
      <c r="BG46" s="396" t="s">
        <v>657</v>
      </c>
      <c r="BH46" s="436" t="s">
        <v>2326</v>
      </c>
      <c r="BI46" s="396" t="str">
        <f t="shared" si="19"/>
        <v>Haute-Marne</v>
      </c>
    </row>
    <row r="47" spans="17:61" x14ac:dyDescent="0.25">
      <c r="AW47" s="369" t="s">
        <v>14</v>
      </c>
      <c r="AX47" s="369" t="s">
        <v>170</v>
      </c>
      <c r="AY47" s="369" t="s">
        <v>170</v>
      </c>
      <c r="AZ47" s="369" t="str">
        <f t="shared" si="13"/>
        <v>Basse-NormandiePrunierPrunier</v>
      </c>
      <c r="BB47" s="396" t="s">
        <v>688</v>
      </c>
      <c r="BC47" s="396" t="s">
        <v>765</v>
      </c>
      <c r="BD47" s="396">
        <v>93</v>
      </c>
      <c r="BE47" s="396" t="s">
        <v>31</v>
      </c>
      <c r="BF47" s="396"/>
      <c r="BG47" s="396" t="s">
        <v>661</v>
      </c>
      <c r="BH47" s="436" t="s">
        <v>31</v>
      </c>
      <c r="BI47" s="396" t="str">
        <f t="shared" si="19"/>
        <v>Hautes-Alpes</v>
      </c>
    </row>
    <row r="48" spans="17:61" x14ac:dyDescent="0.25">
      <c r="AW48" s="369" t="s">
        <v>15</v>
      </c>
      <c r="AX48" s="369" t="s">
        <v>135</v>
      </c>
      <c r="AY48" s="369" t="s">
        <v>135</v>
      </c>
      <c r="AZ48" s="369" t="str">
        <f t="shared" si="13"/>
        <v>BourgogneAbricotierAbricotier</v>
      </c>
      <c r="BB48" s="396">
        <v>70</v>
      </c>
      <c r="BC48" s="396" t="s">
        <v>826</v>
      </c>
      <c r="BD48" s="396">
        <v>43</v>
      </c>
      <c r="BE48" s="396" t="s">
        <v>20</v>
      </c>
      <c r="BF48" s="396"/>
      <c r="BG48" s="396" t="s">
        <v>656</v>
      </c>
      <c r="BH48" s="436" t="s">
        <v>917</v>
      </c>
      <c r="BI48" s="396" t="str">
        <f t="shared" si="19"/>
        <v>Haute-Saône</v>
      </c>
    </row>
    <row r="49" spans="49:61" x14ac:dyDescent="0.25">
      <c r="AW49" s="369" t="s">
        <v>15</v>
      </c>
      <c r="AX49" s="369" t="s">
        <v>646</v>
      </c>
      <c r="AY49" s="369" t="s">
        <v>143</v>
      </c>
      <c r="AZ49" s="369" t="str">
        <f t="shared" si="13"/>
        <v>BourgogneAgrumesClémentinier</v>
      </c>
      <c r="BB49" s="396">
        <v>74</v>
      </c>
      <c r="BC49" s="396" t="s">
        <v>830</v>
      </c>
      <c r="BD49" s="396">
        <v>82</v>
      </c>
      <c r="BE49" s="396" t="s">
        <v>32</v>
      </c>
      <c r="BF49" s="396"/>
      <c r="BG49" s="396" t="s">
        <v>54</v>
      </c>
      <c r="BH49" s="436" t="s">
        <v>916</v>
      </c>
      <c r="BI49" s="396" t="str">
        <f t="shared" si="19"/>
        <v>Haute-Savoie</v>
      </c>
    </row>
    <row r="50" spans="49:61" x14ac:dyDescent="0.25">
      <c r="AW50" s="369" t="s">
        <v>15</v>
      </c>
      <c r="AX50" s="369" t="s">
        <v>178</v>
      </c>
      <c r="AY50" s="369" t="s">
        <v>170</v>
      </c>
      <c r="AZ50" s="369" t="str">
        <f t="shared" si="13"/>
        <v>BourgogneAutresPrunier</v>
      </c>
      <c r="BB50" s="396">
        <v>65</v>
      </c>
      <c r="BC50" s="396" t="s">
        <v>820</v>
      </c>
      <c r="BD50" s="396">
        <v>73</v>
      </c>
      <c r="BE50" s="396" t="s">
        <v>26</v>
      </c>
      <c r="BF50" s="396"/>
      <c r="BG50" s="396" t="s">
        <v>663</v>
      </c>
      <c r="BH50" s="436" t="s">
        <v>923</v>
      </c>
      <c r="BI50" s="396" t="str">
        <f t="shared" si="19"/>
        <v>Hautes-Pyrénées</v>
      </c>
    </row>
    <row r="51" spans="49:61" x14ac:dyDescent="0.25">
      <c r="AW51" s="369" t="s">
        <v>15</v>
      </c>
      <c r="AX51" s="369" t="s">
        <v>140</v>
      </c>
      <c r="AY51" s="369" t="s">
        <v>140</v>
      </c>
      <c r="AZ51" s="369" t="str">
        <f t="shared" si="13"/>
        <v>BourgogneCerisierCerisier</v>
      </c>
      <c r="BB51" s="396">
        <v>87</v>
      </c>
      <c r="BC51" s="396" t="s">
        <v>843</v>
      </c>
      <c r="BD51" s="396">
        <v>74</v>
      </c>
      <c r="BE51" s="396" t="s">
        <v>24</v>
      </c>
      <c r="BF51" s="396"/>
      <c r="BG51" s="396" t="s">
        <v>666</v>
      </c>
      <c r="BH51" s="436" t="s">
        <v>922</v>
      </c>
      <c r="BI51" s="396" t="str">
        <f t="shared" si="19"/>
        <v>Haute-Vienne</v>
      </c>
    </row>
    <row r="52" spans="49:61" x14ac:dyDescent="0.25">
      <c r="AW52" s="369" t="s">
        <v>15</v>
      </c>
      <c r="AX52" s="369" t="s">
        <v>153</v>
      </c>
      <c r="AY52" s="369" t="s">
        <v>153</v>
      </c>
      <c r="AZ52" s="369" t="str">
        <f t="shared" si="13"/>
        <v>BourgogneMirabellierMirabellier</v>
      </c>
      <c r="BB52" s="396">
        <v>68</v>
      </c>
      <c r="BC52" s="396" t="s">
        <v>822</v>
      </c>
      <c r="BD52" s="396">
        <v>42</v>
      </c>
      <c r="BE52" s="396" t="s">
        <v>11</v>
      </c>
      <c r="BF52" s="396"/>
      <c r="BG52" s="396" t="s">
        <v>11</v>
      </c>
      <c r="BH52" s="436" t="s">
        <v>2326</v>
      </c>
      <c r="BI52" s="396" t="str">
        <f t="shared" si="19"/>
        <v>Haut-Rhin</v>
      </c>
    </row>
    <row r="53" spans="49:61" x14ac:dyDescent="0.25">
      <c r="AW53" s="369" t="s">
        <v>15</v>
      </c>
      <c r="AX53" s="369" t="s">
        <v>159</v>
      </c>
      <c r="AY53" s="369" t="s">
        <v>647</v>
      </c>
      <c r="AZ53" s="369" t="str">
        <f t="shared" si="13"/>
        <v>BourgogneNectarinierNectarinier-Pêcher</v>
      </c>
      <c r="BB53" s="396">
        <v>92</v>
      </c>
      <c r="BC53" s="396" t="s">
        <v>848</v>
      </c>
      <c r="BD53" s="396">
        <v>11</v>
      </c>
      <c r="BE53" s="396" t="s">
        <v>860</v>
      </c>
      <c r="BF53" s="396"/>
      <c r="BG53" s="396" t="s">
        <v>666</v>
      </c>
      <c r="BH53" s="436" t="s">
        <v>302</v>
      </c>
      <c r="BI53" s="396" t="str">
        <f t="shared" si="19"/>
        <v>Hauts-de-Seine</v>
      </c>
    </row>
    <row r="54" spans="49:61" x14ac:dyDescent="0.25">
      <c r="AW54" s="369" t="s">
        <v>15</v>
      </c>
      <c r="AX54" s="369" t="s">
        <v>162</v>
      </c>
      <c r="AY54" s="369" t="s">
        <v>162</v>
      </c>
      <c r="AZ54" s="369" t="str">
        <f t="shared" si="13"/>
        <v>BourgogneNoyerNoyer</v>
      </c>
      <c r="BB54" s="396">
        <v>34</v>
      </c>
      <c r="BC54" s="396" t="s">
        <v>791</v>
      </c>
      <c r="BD54" s="396">
        <v>91</v>
      </c>
      <c r="BE54" s="396" t="s">
        <v>23</v>
      </c>
      <c r="BF54" s="396"/>
      <c r="BG54" s="579" t="s">
        <v>23</v>
      </c>
      <c r="BH54" s="436" t="s">
        <v>923</v>
      </c>
      <c r="BI54" s="396" t="str">
        <f t="shared" si="19"/>
        <v>Hérault</v>
      </c>
    </row>
    <row r="55" spans="49:61" x14ac:dyDescent="0.25">
      <c r="AW55" s="369" t="s">
        <v>15</v>
      </c>
      <c r="AX55" s="369" t="s">
        <v>166</v>
      </c>
      <c r="AY55" s="369" t="s">
        <v>647</v>
      </c>
      <c r="AZ55" s="369" t="str">
        <f t="shared" si="13"/>
        <v>BourgognePêcherNectarinier-Pêcher</v>
      </c>
      <c r="BB55" s="396">
        <v>35</v>
      </c>
      <c r="BC55" s="396" t="s">
        <v>792</v>
      </c>
      <c r="BD55" s="396">
        <v>53</v>
      </c>
      <c r="BE55" s="396" t="s">
        <v>16</v>
      </c>
      <c r="BF55" s="396"/>
      <c r="BG55" s="396" t="s">
        <v>666</v>
      </c>
      <c r="BH55" s="436" t="s">
        <v>16</v>
      </c>
      <c r="BI55" s="396" t="str">
        <f t="shared" si="19"/>
        <v>Ille-et-Vilaine</v>
      </c>
    </row>
    <row r="56" spans="49:61" x14ac:dyDescent="0.25">
      <c r="AW56" s="369" t="s">
        <v>15</v>
      </c>
      <c r="AX56" s="369" t="s">
        <v>167</v>
      </c>
      <c r="AY56" s="369" t="s">
        <v>167</v>
      </c>
      <c r="AZ56" s="369" t="str">
        <f t="shared" si="13"/>
        <v>BourgognePoirierPoirier</v>
      </c>
      <c r="BB56" s="396">
        <v>36</v>
      </c>
      <c r="BC56" s="396" t="s">
        <v>793</v>
      </c>
      <c r="BD56" s="396">
        <v>24</v>
      </c>
      <c r="BE56" s="396" t="s">
        <v>17</v>
      </c>
      <c r="BF56" s="396"/>
      <c r="BG56" s="396" t="s">
        <v>665</v>
      </c>
      <c r="BH56" s="436" t="s">
        <v>918</v>
      </c>
      <c r="BI56" s="396" t="str">
        <f t="shared" si="19"/>
        <v>Indre</v>
      </c>
    </row>
    <row r="57" spans="49:61" x14ac:dyDescent="0.25">
      <c r="AW57" s="369" t="s">
        <v>15</v>
      </c>
      <c r="AX57" s="369" t="s">
        <v>169</v>
      </c>
      <c r="AY57" s="369" t="s">
        <v>169</v>
      </c>
      <c r="AZ57" s="369" t="str">
        <f t="shared" si="13"/>
        <v>BourgognePommierPommier</v>
      </c>
      <c r="BB57" s="396">
        <v>37</v>
      </c>
      <c r="BC57" s="396" t="s">
        <v>794</v>
      </c>
      <c r="BD57" s="396">
        <v>24</v>
      </c>
      <c r="BE57" s="396" t="s">
        <v>17</v>
      </c>
      <c r="BF57" s="396"/>
      <c r="BG57" s="396" t="s">
        <v>55</v>
      </c>
      <c r="BH57" s="436" t="s">
        <v>918</v>
      </c>
      <c r="BI57" s="396" t="str">
        <f t="shared" si="19"/>
        <v>Indre-et-Loire</v>
      </c>
    </row>
    <row r="58" spans="49:61" x14ac:dyDescent="0.25">
      <c r="AW58" s="369" t="s">
        <v>15</v>
      </c>
      <c r="AX58" s="369" t="s">
        <v>170</v>
      </c>
      <c r="AY58" s="369" t="s">
        <v>170</v>
      </c>
      <c r="AZ58" s="369" t="str">
        <f t="shared" si="13"/>
        <v>BourgognePrunierPrunier</v>
      </c>
      <c r="BB58" s="396">
        <v>38</v>
      </c>
      <c r="BC58" s="396" t="s">
        <v>795</v>
      </c>
      <c r="BD58" s="396">
        <v>82</v>
      </c>
      <c r="BE58" s="396" t="s">
        <v>32</v>
      </c>
      <c r="BF58" s="396"/>
      <c r="BG58" s="396" t="s">
        <v>54</v>
      </c>
      <c r="BH58" s="436" t="s">
        <v>916</v>
      </c>
      <c r="BI58" s="396" t="str">
        <f t="shared" si="19"/>
        <v>Isère</v>
      </c>
    </row>
    <row r="59" spans="49:61" x14ac:dyDescent="0.25">
      <c r="AW59" s="369" t="s">
        <v>16</v>
      </c>
      <c r="AX59" s="369" t="s">
        <v>135</v>
      </c>
      <c r="AY59" s="369" t="s">
        <v>135</v>
      </c>
      <c r="AZ59" s="369" t="str">
        <f t="shared" si="13"/>
        <v>BretagneAbricotierAbricotier</v>
      </c>
      <c r="BB59" s="396">
        <v>39</v>
      </c>
      <c r="BC59" s="396" t="s">
        <v>655</v>
      </c>
      <c r="BD59" s="396">
        <v>43</v>
      </c>
      <c r="BE59" s="396" t="s">
        <v>20</v>
      </c>
      <c r="BF59" s="396"/>
      <c r="BG59" s="396" t="s">
        <v>655</v>
      </c>
      <c r="BH59" s="436" t="s">
        <v>917</v>
      </c>
      <c r="BI59" s="396" t="str">
        <f t="shared" si="19"/>
        <v>Jura</v>
      </c>
    </row>
    <row r="60" spans="49:61" x14ac:dyDescent="0.25">
      <c r="AW60" s="369" t="s">
        <v>16</v>
      </c>
      <c r="AX60" s="369" t="s">
        <v>646</v>
      </c>
      <c r="AY60" s="369" t="s">
        <v>143</v>
      </c>
      <c r="AZ60" s="369" t="str">
        <f t="shared" si="13"/>
        <v>BretagneAgrumesClémentinier</v>
      </c>
      <c r="BB60" s="396">
        <v>974</v>
      </c>
      <c r="BC60" s="396" t="s">
        <v>852</v>
      </c>
      <c r="BD60" s="396">
        <v>4</v>
      </c>
      <c r="BE60" s="396" t="s">
        <v>861</v>
      </c>
      <c r="BF60" s="396"/>
      <c r="BG60" s="396"/>
      <c r="BH60" s="436" t="s">
        <v>852</v>
      </c>
      <c r="BI60" s="396" t="str">
        <f t="shared" si="19"/>
        <v>La Réunion</v>
      </c>
    </row>
    <row r="61" spans="49:61" x14ac:dyDescent="0.25">
      <c r="AW61" s="369" t="s">
        <v>16</v>
      </c>
      <c r="AX61" s="369" t="s">
        <v>178</v>
      </c>
      <c r="AY61" s="369" t="s">
        <v>170</v>
      </c>
      <c r="AZ61" s="369" t="str">
        <f t="shared" si="13"/>
        <v>BretagneAutresPrunier</v>
      </c>
      <c r="BB61" s="396">
        <v>40</v>
      </c>
      <c r="BC61" s="396" t="s">
        <v>796</v>
      </c>
      <c r="BD61" s="396">
        <v>72</v>
      </c>
      <c r="BE61" s="396" t="s">
        <v>12</v>
      </c>
      <c r="BF61" s="396"/>
      <c r="BG61" s="396" t="s">
        <v>663</v>
      </c>
      <c r="BH61" s="436" t="s">
        <v>922</v>
      </c>
      <c r="BI61" s="396" t="str">
        <f t="shared" si="19"/>
        <v>Landes</v>
      </c>
    </row>
    <row r="62" spans="49:61" x14ac:dyDescent="0.25">
      <c r="AW62" s="369" t="s">
        <v>16</v>
      </c>
      <c r="AX62" s="369" t="s">
        <v>140</v>
      </c>
      <c r="AY62" s="369" t="s">
        <v>140</v>
      </c>
      <c r="AZ62" s="369" t="str">
        <f t="shared" si="13"/>
        <v>BretagneCerisierCerisier</v>
      </c>
      <c r="BB62" s="396">
        <v>42</v>
      </c>
      <c r="BC62" s="396" t="s">
        <v>798</v>
      </c>
      <c r="BD62" s="396">
        <v>82</v>
      </c>
      <c r="BE62" s="396" t="s">
        <v>32</v>
      </c>
      <c r="BF62" s="396"/>
      <c r="BG62" s="396" t="s">
        <v>656</v>
      </c>
      <c r="BH62" s="436" t="s">
        <v>916</v>
      </c>
      <c r="BI62" s="396" t="str">
        <f t="shared" si="19"/>
        <v>Loire</v>
      </c>
    </row>
    <row r="63" spans="49:61" x14ac:dyDescent="0.25">
      <c r="AW63" s="369" t="s">
        <v>16</v>
      </c>
      <c r="AX63" s="369" t="s">
        <v>153</v>
      </c>
      <c r="AY63" s="369" t="s">
        <v>153</v>
      </c>
      <c r="AZ63" s="369" t="str">
        <f t="shared" si="13"/>
        <v>BretagneMirabellierMirabellier</v>
      </c>
      <c r="BB63" s="396">
        <v>44</v>
      </c>
      <c r="BC63" s="396" t="s">
        <v>800</v>
      </c>
      <c r="BD63" s="396">
        <v>52</v>
      </c>
      <c r="BE63" s="396" t="s">
        <v>858</v>
      </c>
      <c r="BF63" s="396"/>
      <c r="BG63" s="396" t="s">
        <v>55</v>
      </c>
      <c r="BH63" s="436" t="s">
        <v>28</v>
      </c>
      <c r="BI63" s="396" t="str">
        <f t="shared" si="19"/>
        <v>Loire-Atlantique</v>
      </c>
    </row>
    <row r="64" spans="49:61" x14ac:dyDescent="0.25">
      <c r="AW64" s="369" t="s">
        <v>16</v>
      </c>
      <c r="AX64" s="369" t="s">
        <v>159</v>
      </c>
      <c r="AY64" s="369" t="s">
        <v>647</v>
      </c>
      <c r="AZ64" s="369" t="str">
        <f t="shared" si="13"/>
        <v>BretagneNectarinierNectarinier-Pêcher</v>
      </c>
      <c r="BB64" s="396">
        <v>45</v>
      </c>
      <c r="BC64" s="396" t="s">
        <v>801</v>
      </c>
      <c r="BD64" s="396">
        <v>24</v>
      </c>
      <c r="BE64" s="396" t="s">
        <v>17</v>
      </c>
      <c r="BF64" s="396"/>
      <c r="BG64" s="396" t="s">
        <v>665</v>
      </c>
      <c r="BH64" s="436" t="s">
        <v>918</v>
      </c>
      <c r="BI64" s="396" t="str">
        <f t="shared" si="19"/>
        <v>Loiret</v>
      </c>
    </row>
    <row r="65" spans="49:61" x14ac:dyDescent="0.25">
      <c r="AW65" s="369" t="s">
        <v>16</v>
      </c>
      <c r="AX65" s="369" t="s">
        <v>162</v>
      </c>
      <c r="AY65" s="369" t="s">
        <v>162</v>
      </c>
      <c r="AZ65" s="369" t="str">
        <f t="shared" si="13"/>
        <v>BretagneNoyerNoyer</v>
      </c>
      <c r="BB65" s="396">
        <v>41</v>
      </c>
      <c r="BC65" s="396" t="s">
        <v>797</v>
      </c>
      <c r="BD65" s="396">
        <v>24</v>
      </c>
      <c r="BE65" s="396" t="s">
        <v>17</v>
      </c>
      <c r="BF65" s="396"/>
      <c r="BG65" s="396" t="s">
        <v>55</v>
      </c>
      <c r="BH65" s="436" t="s">
        <v>918</v>
      </c>
      <c r="BI65" s="396" t="str">
        <f t="shared" si="19"/>
        <v>Loir-et-Cher</v>
      </c>
    </row>
    <row r="66" spans="49:61" x14ac:dyDescent="0.25">
      <c r="AW66" s="369" t="s">
        <v>16</v>
      </c>
      <c r="AX66" s="369" t="s">
        <v>166</v>
      </c>
      <c r="AY66" s="369" t="s">
        <v>647</v>
      </c>
      <c r="AZ66" s="369" t="str">
        <f t="shared" si="13"/>
        <v>BretagnePêcherNectarinier-Pêcher</v>
      </c>
      <c r="BB66" s="396">
        <v>46</v>
      </c>
      <c r="BC66" s="396" t="s">
        <v>802</v>
      </c>
      <c r="BD66" s="396">
        <v>73</v>
      </c>
      <c r="BE66" s="396" t="s">
        <v>26</v>
      </c>
      <c r="BF66" s="396"/>
      <c r="BG66" s="396" t="s">
        <v>59</v>
      </c>
      <c r="BH66" s="436" t="s">
        <v>923</v>
      </c>
      <c r="BI66" s="396" t="str">
        <f t="shared" si="19"/>
        <v>Lot</v>
      </c>
    </row>
    <row r="67" spans="49:61" x14ac:dyDescent="0.25">
      <c r="AW67" s="369" t="s">
        <v>16</v>
      </c>
      <c r="AX67" s="369" t="s">
        <v>167</v>
      </c>
      <c r="AY67" s="369" t="s">
        <v>167</v>
      </c>
      <c r="AZ67" s="369" t="str">
        <f t="shared" si="13"/>
        <v>BretagnePoirierPoirier</v>
      </c>
      <c r="BB67" s="396">
        <v>47</v>
      </c>
      <c r="BC67" s="396" t="s">
        <v>52</v>
      </c>
      <c r="BD67" s="396">
        <v>72</v>
      </c>
      <c r="BE67" s="396" t="s">
        <v>12</v>
      </c>
      <c r="BF67" s="396"/>
      <c r="BG67" s="396" t="s">
        <v>52</v>
      </c>
      <c r="BH67" s="436" t="s">
        <v>922</v>
      </c>
      <c r="BI67" s="396" t="str">
        <f t="shared" si="19"/>
        <v>Lot-et-Garonne</v>
      </c>
    </row>
    <row r="68" spans="49:61" x14ac:dyDescent="0.25">
      <c r="AW68" s="369" t="s">
        <v>16</v>
      </c>
      <c r="AX68" s="369" t="s">
        <v>169</v>
      </c>
      <c r="AY68" s="369" t="s">
        <v>169</v>
      </c>
      <c r="AZ68" s="369" t="str">
        <f t="shared" si="13"/>
        <v>BretagnePommierPommier</v>
      </c>
      <c r="BB68" s="396">
        <v>48</v>
      </c>
      <c r="BC68" s="396" t="s">
        <v>803</v>
      </c>
      <c r="BD68" s="396">
        <v>91</v>
      </c>
      <c r="BE68" s="396" t="s">
        <v>23</v>
      </c>
      <c r="BF68" s="396"/>
      <c r="BG68" s="396" t="s">
        <v>666</v>
      </c>
      <c r="BH68" s="436" t="s">
        <v>923</v>
      </c>
      <c r="BI68" s="396" t="str">
        <f t="shared" si="19"/>
        <v>Lozère</v>
      </c>
    </row>
    <row r="69" spans="49:61" x14ac:dyDescent="0.25">
      <c r="AW69" s="369" t="s">
        <v>16</v>
      </c>
      <c r="AX69" s="369" t="s">
        <v>170</v>
      </c>
      <c r="AY69" s="369" t="s">
        <v>170</v>
      </c>
      <c r="AZ69" s="369" t="str">
        <f t="shared" si="13"/>
        <v>BretagnePrunierPrunier</v>
      </c>
      <c r="BB69" s="396">
        <v>49</v>
      </c>
      <c r="BC69" s="396" t="s">
        <v>804</v>
      </c>
      <c r="BD69" s="396">
        <v>52</v>
      </c>
      <c r="BE69" s="396" t="s">
        <v>858</v>
      </c>
      <c r="BF69" s="396"/>
      <c r="BG69" s="396" t="s">
        <v>55</v>
      </c>
      <c r="BH69" s="436" t="s">
        <v>28</v>
      </c>
      <c r="BI69" s="396" t="str">
        <f t="shared" ref="BI69:BI100" si="20">TRIM(BC69&amp;" "&amp;BF69)</f>
        <v>Maine-et-Loire</v>
      </c>
    </row>
    <row r="70" spans="49:61" x14ac:dyDescent="0.25">
      <c r="AW70" s="369" t="s">
        <v>17</v>
      </c>
      <c r="AX70" s="369" t="s">
        <v>135</v>
      </c>
      <c r="AY70" s="369" t="s">
        <v>135</v>
      </c>
      <c r="AZ70" s="369" t="str">
        <f t="shared" ref="AZ70:AZ133" si="21">AW70&amp;AX70&amp;AY70</f>
        <v>CentreAbricotierAbricotier</v>
      </c>
      <c r="BB70" s="396">
        <v>50</v>
      </c>
      <c r="BC70" s="396" t="s">
        <v>805</v>
      </c>
      <c r="BD70" s="396">
        <v>25</v>
      </c>
      <c r="BE70" s="396" t="s">
        <v>14</v>
      </c>
      <c r="BF70" s="396"/>
      <c r="BG70" s="396" t="s">
        <v>666</v>
      </c>
      <c r="BH70" s="436" t="s">
        <v>921</v>
      </c>
      <c r="BI70" s="396" t="str">
        <f t="shared" si="20"/>
        <v>Manche</v>
      </c>
    </row>
    <row r="71" spans="49:61" x14ac:dyDescent="0.25">
      <c r="AW71" s="369" t="s">
        <v>17</v>
      </c>
      <c r="AX71" s="369" t="s">
        <v>646</v>
      </c>
      <c r="AY71" s="369" t="s">
        <v>143</v>
      </c>
      <c r="AZ71" s="369" t="str">
        <f t="shared" si="21"/>
        <v>CentreAgrumesClémentinier</v>
      </c>
      <c r="BB71" s="396">
        <v>51</v>
      </c>
      <c r="BC71" s="396" t="s">
        <v>806</v>
      </c>
      <c r="BD71" s="396">
        <v>21</v>
      </c>
      <c r="BE71" s="396" t="s">
        <v>18</v>
      </c>
      <c r="BF71" s="396"/>
      <c r="BG71" s="396" t="s">
        <v>56</v>
      </c>
      <c r="BH71" s="436" t="s">
        <v>2326</v>
      </c>
      <c r="BI71" s="396" t="str">
        <f t="shared" si="20"/>
        <v>Marne</v>
      </c>
    </row>
    <row r="72" spans="49:61" x14ac:dyDescent="0.25">
      <c r="AW72" s="369" t="s">
        <v>17</v>
      </c>
      <c r="AX72" s="369" t="s">
        <v>178</v>
      </c>
      <c r="AY72" s="369" t="s">
        <v>170</v>
      </c>
      <c r="AZ72" s="369" t="str">
        <f t="shared" si="21"/>
        <v>CentreAutresPrunier</v>
      </c>
      <c r="BB72" s="396">
        <v>972</v>
      </c>
      <c r="BC72" s="396" t="s">
        <v>296</v>
      </c>
      <c r="BD72" s="396">
        <v>2</v>
      </c>
      <c r="BE72" s="396" t="s">
        <v>296</v>
      </c>
      <c r="BF72" s="396"/>
      <c r="BG72" s="396"/>
      <c r="BH72" s="436" t="s">
        <v>296</v>
      </c>
      <c r="BI72" s="396" t="str">
        <f t="shared" si="20"/>
        <v>Martinique</v>
      </c>
    </row>
    <row r="73" spans="49:61" x14ac:dyDescent="0.25">
      <c r="AW73" s="369" t="s">
        <v>17</v>
      </c>
      <c r="AX73" s="369" t="s">
        <v>140</v>
      </c>
      <c r="AY73" s="369" t="s">
        <v>140</v>
      </c>
      <c r="AZ73" s="369" t="str">
        <f t="shared" si="21"/>
        <v>CentreCerisierCerisier</v>
      </c>
      <c r="BB73" s="396">
        <v>53</v>
      </c>
      <c r="BC73" s="396" t="s">
        <v>808</v>
      </c>
      <c r="BD73" s="396">
        <v>52</v>
      </c>
      <c r="BE73" s="396" t="s">
        <v>858</v>
      </c>
      <c r="BF73" s="396"/>
      <c r="BG73" s="396" t="s">
        <v>666</v>
      </c>
      <c r="BH73" s="436" t="s">
        <v>28</v>
      </c>
      <c r="BI73" s="396" t="str">
        <f t="shared" si="20"/>
        <v>Mayenne</v>
      </c>
    </row>
    <row r="74" spans="49:61" x14ac:dyDescent="0.25">
      <c r="AW74" s="369" t="s">
        <v>17</v>
      </c>
      <c r="AX74" s="369" t="s">
        <v>153</v>
      </c>
      <c r="AY74" s="369" t="s">
        <v>153</v>
      </c>
      <c r="AZ74" s="369" t="str">
        <f t="shared" si="21"/>
        <v>CentreMirabellierMirabellier</v>
      </c>
      <c r="BB74" s="396">
        <v>976</v>
      </c>
      <c r="BC74" s="396" t="s">
        <v>853</v>
      </c>
      <c r="BD74" s="396">
        <v>6</v>
      </c>
      <c r="BE74" s="396" t="s">
        <v>853</v>
      </c>
      <c r="BF74" s="396"/>
      <c r="BG74" s="396"/>
      <c r="BH74" s="436" t="s">
        <v>853</v>
      </c>
      <c r="BI74" s="396" t="str">
        <f t="shared" si="20"/>
        <v>Mayotte</v>
      </c>
    </row>
    <row r="75" spans="49:61" x14ac:dyDescent="0.25">
      <c r="AW75" s="369" t="s">
        <v>17</v>
      </c>
      <c r="AX75" s="369" t="s">
        <v>159</v>
      </c>
      <c r="AY75" s="369" t="s">
        <v>647</v>
      </c>
      <c r="AZ75" s="369" t="str">
        <f t="shared" si="21"/>
        <v>CentreNectarinierNectarinier-Pêcher</v>
      </c>
      <c r="BB75" s="396">
        <v>54</v>
      </c>
      <c r="BC75" s="396" t="s">
        <v>809</v>
      </c>
      <c r="BD75" s="396">
        <v>41</v>
      </c>
      <c r="BE75" s="396" t="s">
        <v>25</v>
      </c>
      <c r="BF75" s="396"/>
      <c r="BG75" s="396" t="s">
        <v>652</v>
      </c>
      <c r="BH75" s="436" t="s">
        <v>2326</v>
      </c>
      <c r="BI75" s="396" t="str">
        <f t="shared" si="20"/>
        <v>Meurthe-et-Moselle</v>
      </c>
    </row>
    <row r="76" spans="49:61" x14ac:dyDescent="0.25">
      <c r="AW76" s="369" t="s">
        <v>17</v>
      </c>
      <c r="AX76" s="369" t="s">
        <v>162</v>
      </c>
      <c r="AY76" s="369" t="s">
        <v>162</v>
      </c>
      <c r="AZ76" s="369" t="str">
        <f t="shared" si="21"/>
        <v>CentreNoyerNoyer</v>
      </c>
      <c r="BB76" s="396">
        <v>55</v>
      </c>
      <c r="BC76" s="396" t="s">
        <v>810</v>
      </c>
      <c r="BD76" s="396">
        <v>41</v>
      </c>
      <c r="BE76" s="396" t="s">
        <v>25</v>
      </c>
      <c r="BF76" s="396"/>
      <c r="BG76" s="396" t="s">
        <v>652</v>
      </c>
      <c r="BH76" s="436" t="s">
        <v>2326</v>
      </c>
      <c r="BI76" s="396" t="str">
        <f t="shared" si="20"/>
        <v>Meuse</v>
      </c>
    </row>
    <row r="77" spans="49:61" x14ac:dyDescent="0.25">
      <c r="AW77" s="369" t="s">
        <v>17</v>
      </c>
      <c r="AX77" s="369" t="s">
        <v>166</v>
      </c>
      <c r="AY77" s="369" t="s">
        <v>647</v>
      </c>
      <c r="AZ77" s="369" t="str">
        <f t="shared" si="21"/>
        <v>CentrePêcherNectarinier-Pêcher</v>
      </c>
      <c r="BB77" s="396">
        <v>56</v>
      </c>
      <c r="BC77" s="396" t="s">
        <v>811</v>
      </c>
      <c r="BD77" s="396">
        <v>53</v>
      </c>
      <c r="BE77" s="396" t="s">
        <v>16</v>
      </c>
      <c r="BF77" s="396"/>
      <c r="BG77" s="396" t="s">
        <v>666</v>
      </c>
      <c r="BH77" s="436" t="s">
        <v>16</v>
      </c>
      <c r="BI77" s="396" t="str">
        <f t="shared" si="20"/>
        <v>Morbihan</v>
      </c>
    </row>
    <row r="78" spans="49:61" x14ac:dyDescent="0.25">
      <c r="AW78" s="369" t="s">
        <v>17</v>
      </c>
      <c r="AX78" s="369" t="s">
        <v>167</v>
      </c>
      <c r="AY78" s="369" t="s">
        <v>167</v>
      </c>
      <c r="AZ78" s="369" t="str">
        <f t="shared" si="21"/>
        <v>CentrePoirierPoirier</v>
      </c>
      <c r="BB78" s="396">
        <v>57</v>
      </c>
      <c r="BC78" s="396" t="s">
        <v>812</v>
      </c>
      <c r="BD78" s="396">
        <v>41</v>
      </c>
      <c r="BE78" s="396" t="s">
        <v>25</v>
      </c>
      <c r="BF78" s="396"/>
      <c r="BG78" s="396" t="s">
        <v>652</v>
      </c>
      <c r="BH78" s="436" t="s">
        <v>2326</v>
      </c>
      <c r="BI78" s="396" t="str">
        <f t="shared" si="20"/>
        <v>Moselle</v>
      </c>
    </row>
    <row r="79" spans="49:61" x14ac:dyDescent="0.25">
      <c r="AW79" s="369" t="s">
        <v>17</v>
      </c>
      <c r="AX79" s="369" t="s">
        <v>169</v>
      </c>
      <c r="AY79" s="369" t="s">
        <v>169</v>
      </c>
      <c r="AZ79" s="369" t="str">
        <f t="shared" si="21"/>
        <v>CentrePommierPommier</v>
      </c>
      <c r="BB79" s="396">
        <v>58</v>
      </c>
      <c r="BC79" s="396" t="s">
        <v>813</v>
      </c>
      <c r="BD79" s="396">
        <v>26</v>
      </c>
      <c r="BE79" s="396" t="s">
        <v>15</v>
      </c>
      <c r="BF79" s="396"/>
      <c r="BG79" s="396" t="s">
        <v>665</v>
      </c>
      <c r="BH79" s="436" t="s">
        <v>917</v>
      </c>
      <c r="BI79" s="396" t="str">
        <f t="shared" si="20"/>
        <v>Nièvre</v>
      </c>
    </row>
    <row r="80" spans="49:61" x14ac:dyDescent="0.25">
      <c r="AW80" s="369" t="s">
        <v>17</v>
      </c>
      <c r="AX80" s="369" t="s">
        <v>170</v>
      </c>
      <c r="AY80" s="369" t="s">
        <v>170</v>
      </c>
      <c r="AZ80" s="369" t="str">
        <f t="shared" si="21"/>
        <v>CentrePrunierPrunier</v>
      </c>
      <c r="BB80" s="396">
        <v>59</v>
      </c>
      <c r="BC80" s="396" t="s">
        <v>814</v>
      </c>
      <c r="BD80" s="396">
        <v>31</v>
      </c>
      <c r="BE80" s="396" t="s">
        <v>859</v>
      </c>
      <c r="BF80" s="396"/>
      <c r="BG80" s="396" t="s">
        <v>666</v>
      </c>
      <c r="BH80" s="436" t="s">
        <v>920</v>
      </c>
      <c r="BI80" s="396" t="str">
        <f t="shared" si="20"/>
        <v>Nord</v>
      </c>
    </row>
    <row r="81" spans="49:61" x14ac:dyDescent="0.25">
      <c r="AW81" s="369" t="s">
        <v>18</v>
      </c>
      <c r="AX81" s="369" t="s">
        <v>135</v>
      </c>
      <c r="AY81" s="369" t="s">
        <v>135</v>
      </c>
      <c r="AZ81" s="369" t="str">
        <f t="shared" si="21"/>
        <v>Champagne-ArdenneAbricotierAbricotier</v>
      </c>
      <c r="BB81" s="396">
        <v>60</v>
      </c>
      <c r="BC81" s="396" t="s">
        <v>815</v>
      </c>
      <c r="BD81" s="396">
        <v>22</v>
      </c>
      <c r="BE81" s="396" t="s">
        <v>29</v>
      </c>
      <c r="BF81" s="396"/>
      <c r="BG81" s="396" t="s">
        <v>666</v>
      </c>
      <c r="BH81" s="436" t="s">
        <v>920</v>
      </c>
      <c r="BI81" s="396" t="str">
        <f t="shared" si="20"/>
        <v>Oise</v>
      </c>
    </row>
    <row r="82" spans="49:61" x14ac:dyDescent="0.25">
      <c r="AW82" s="369" t="s">
        <v>18</v>
      </c>
      <c r="AX82" s="369" t="s">
        <v>646</v>
      </c>
      <c r="AY82" s="369" t="s">
        <v>143</v>
      </c>
      <c r="AZ82" s="369" t="str">
        <f t="shared" si="21"/>
        <v>Champagne-ArdenneAgrumesClémentinier</v>
      </c>
      <c r="BB82" s="396">
        <v>61</v>
      </c>
      <c r="BC82" s="396" t="s">
        <v>816</v>
      </c>
      <c r="BD82" s="396">
        <v>25</v>
      </c>
      <c r="BE82" s="396" t="s">
        <v>14</v>
      </c>
      <c r="BF82" s="396"/>
      <c r="BG82" s="396" t="s">
        <v>666</v>
      </c>
      <c r="BH82" s="436" t="s">
        <v>921</v>
      </c>
      <c r="BI82" s="396" t="str">
        <f t="shared" si="20"/>
        <v>Orne</v>
      </c>
    </row>
    <row r="83" spans="49:61" x14ac:dyDescent="0.25">
      <c r="AW83" s="369" t="s">
        <v>18</v>
      </c>
      <c r="AX83" s="369" t="s">
        <v>178</v>
      </c>
      <c r="AY83" s="369" t="s">
        <v>170</v>
      </c>
      <c r="AZ83" s="369" t="str">
        <f t="shared" si="21"/>
        <v>Champagne-ArdenneAutresPrunier</v>
      </c>
      <c r="BB83" s="396">
        <v>75</v>
      </c>
      <c r="BC83" s="396" t="s">
        <v>831</v>
      </c>
      <c r="BD83" s="396">
        <v>11</v>
      </c>
      <c r="BE83" s="396" t="s">
        <v>860</v>
      </c>
      <c r="BF83" s="396"/>
      <c r="BG83" s="396" t="s">
        <v>666</v>
      </c>
      <c r="BH83" s="436" t="s">
        <v>302</v>
      </c>
      <c r="BI83" s="396" t="str">
        <f t="shared" si="20"/>
        <v>Paris</v>
      </c>
    </row>
    <row r="84" spans="49:61" x14ac:dyDescent="0.25">
      <c r="AW84" s="369" t="s">
        <v>18</v>
      </c>
      <c r="AX84" s="369" t="s">
        <v>140</v>
      </c>
      <c r="AY84" s="369" t="s">
        <v>140</v>
      </c>
      <c r="AZ84" s="369" t="str">
        <f t="shared" si="21"/>
        <v>Champagne-ArdenneCerisierCerisier</v>
      </c>
      <c r="BB84" s="396">
        <v>62</v>
      </c>
      <c r="BC84" s="396" t="s">
        <v>817</v>
      </c>
      <c r="BD84" s="396">
        <v>31</v>
      </c>
      <c r="BE84" s="396" t="s">
        <v>859</v>
      </c>
      <c r="BF84" s="396"/>
      <c r="BG84" s="396" t="s">
        <v>666</v>
      </c>
      <c r="BH84" s="436" t="s">
        <v>920</v>
      </c>
      <c r="BI84" s="396" t="str">
        <f t="shared" si="20"/>
        <v>Pas-de-Calais</v>
      </c>
    </row>
    <row r="85" spans="49:61" x14ac:dyDescent="0.25">
      <c r="AW85" s="369" t="s">
        <v>18</v>
      </c>
      <c r="AX85" s="369" t="s">
        <v>153</v>
      </c>
      <c r="AY85" s="369" t="s">
        <v>153</v>
      </c>
      <c r="AZ85" s="369" t="str">
        <f t="shared" si="21"/>
        <v>Champagne-ArdenneMirabellierMirabellier</v>
      </c>
      <c r="BB85" s="396">
        <v>63</v>
      </c>
      <c r="BC85" s="396" t="s">
        <v>818</v>
      </c>
      <c r="BD85" s="396">
        <v>83</v>
      </c>
      <c r="BE85" s="396" t="s">
        <v>13</v>
      </c>
      <c r="BF85" s="396"/>
      <c r="BG85" s="396" t="s">
        <v>665</v>
      </c>
      <c r="BH85" s="436" t="s">
        <v>916</v>
      </c>
      <c r="BI85" s="396" t="str">
        <f t="shared" si="20"/>
        <v>Puy-de-Dôme</v>
      </c>
    </row>
    <row r="86" spans="49:61" x14ac:dyDescent="0.25">
      <c r="AW86" s="369" t="s">
        <v>18</v>
      </c>
      <c r="AX86" s="369" t="s">
        <v>159</v>
      </c>
      <c r="AY86" s="369" t="s">
        <v>647</v>
      </c>
      <c r="AZ86" s="369" t="str">
        <f t="shared" si="21"/>
        <v>Champagne-ArdenneNectarinierNectarinier-Pêcher</v>
      </c>
      <c r="BB86" s="396">
        <v>64</v>
      </c>
      <c r="BC86" s="396" t="s">
        <v>819</v>
      </c>
      <c r="BD86" s="396">
        <v>72</v>
      </c>
      <c r="BE86" s="396" t="s">
        <v>12</v>
      </c>
      <c r="BF86" s="396"/>
      <c r="BG86" s="396" t="s">
        <v>663</v>
      </c>
      <c r="BH86" s="436" t="s">
        <v>922</v>
      </c>
      <c r="BI86" s="396" t="str">
        <f t="shared" si="20"/>
        <v>Pyrénées-Atlantiques</v>
      </c>
    </row>
    <row r="87" spans="49:61" x14ac:dyDescent="0.25">
      <c r="AW87" s="369" t="s">
        <v>18</v>
      </c>
      <c r="AX87" s="369" t="s">
        <v>162</v>
      </c>
      <c r="AY87" s="369" t="s">
        <v>162</v>
      </c>
      <c r="AZ87" s="369" t="str">
        <f t="shared" si="21"/>
        <v>Champagne-ArdenneNoyerNoyer</v>
      </c>
      <c r="BB87" s="396">
        <v>66</v>
      </c>
      <c r="BC87" s="396" t="s">
        <v>58</v>
      </c>
      <c r="BD87" s="396">
        <v>91</v>
      </c>
      <c r="BE87" s="396" t="s">
        <v>23</v>
      </c>
      <c r="BF87" s="396"/>
      <c r="BG87" s="579" t="s">
        <v>23</v>
      </c>
      <c r="BH87" s="436" t="s">
        <v>923</v>
      </c>
      <c r="BI87" s="396" t="str">
        <f t="shared" si="20"/>
        <v>Pyrénées-Orientales</v>
      </c>
    </row>
    <row r="88" spans="49:61" x14ac:dyDescent="0.25">
      <c r="AW88" s="369" t="s">
        <v>18</v>
      </c>
      <c r="AX88" s="369" t="s">
        <v>166</v>
      </c>
      <c r="AY88" s="369" t="s">
        <v>647</v>
      </c>
      <c r="AZ88" s="369" t="str">
        <f t="shared" si="21"/>
        <v>Champagne-ArdennePêcherNectarinier-Pêcher</v>
      </c>
      <c r="BB88" s="396">
        <v>69</v>
      </c>
      <c r="BC88" s="396" t="s">
        <v>823</v>
      </c>
      <c r="BD88" s="396">
        <v>82</v>
      </c>
      <c r="BE88" s="396" t="s">
        <v>32</v>
      </c>
      <c r="BF88" s="396" t="s">
        <v>824</v>
      </c>
      <c r="BG88" s="396" t="s">
        <v>53</v>
      </c>
      <c r="BH88" s="436" t="s">
        <v>916</v>
      </c>
      <c r="BI88" s="396" t="str">
        <f t="shared" si="20"/>
        <v>Rhône Périmètre AOC Beaujolais</v>
      </c>
    </row>
    <row r="89" spans="49:61" x14ac:dyDescent="0.25">
      <c r="AW89" s="369" t="s">
        <v>18</v>
      </c>
      <c r="AX89" s="369" t="s">
        <v>167</v>
      </c>
      <c r="AY89" s="369" t="s">
        <v>167</v>
      </c>
      <c r="AZ89" s="369" t="str">
        <f t="shared" si="21"/>
        <v>Champagne-ArdennePoirierPoirier</v>
      </c>
      <c r="BB89" s="396">
        <v>69</v>
      </c>
      <c r="BC89" s="396" t="s">
        <v>823</v>
      </c>
      <c r="BD89" s="396">
        <v>82</v>
      </c>
      <c r="BE89" s="396" t="s">
        <v>32</v>
      </c>
      <c r="BF89" s="396" t="s">
        <v>825</v>
      </c>
      <c r="BG89" s="396" t="s">
        <v>661</v>
      </c>
      <c r="BH89" s="436" t="s">
        <v>916</v>
      </c>
      <c r="BI89" s="396" t="str">
        <f t="shared" si="20"/>
        <v>Rhône Hors périmètre AOC Beaujolais</v>
      </c>
    </row>
    <row r="90" spans="49:61" x14ac:dyDescent="0.25">
      <c r="AW90" s="369" t="s">
        <v>18</v>
      </c>
      <c r="AX90" s="369" t="s">
        <v>169</v>
      </c>
      <c r="AY90" s="369" t="s">
        <v>169</v>
      </c>
      <c r="AZ90" s="369" t="str">
        <f t="shared" si="21"/>
        <v>Champagne-ArdennePommierPommier</v>
      </c>
      <c r="BB90" s="396">
        <v>71</v>
      </c>
      <c r="BC90" s="396" t="s">
        <v>827</v>
      </c>
      <c r="BD90" s="396">
        <v>26</v>
      </c>
      <c r="BE90" s="396" t="s">
        <v>15</v>
      </c>
      <c r="BF90" s="396" t="s">
        <v>824</v>
      </c>
      <c r="BG90" s="396" t="s">
        <v>53</v>
      </c>
      <c r="BH90" s="436" t="s">
        <v>917</v>
      </c>
      <c r="BI90" s="396" t="str">
        <f t="shared" si="20"/>
        <v>Saône-et-Loire Périmètre AOC Beaujolais</v>
      </c>
    </row>
    <row r="91" spans="49:61" x14ac:dyDescent="0.25">
      <c r="AW91" s="369" t="s">
        <v>18</v>
      </c>
      <c r="AX91" s="369" t="s">
        <v>170</v>
      </c>
      <c r="AY91" s="369" t="s">
        <v>170</v>
      </c>
      <c r="AZ91" s="369" t="str">
        <f t="shared" si="21"/>
        <v>Champagne-ArdennePrunierPrunier</v>
      </c>
      <c r="BB91" s="396">
        <v>71</v>
      </c>
      <c r="BC91" s="396" t="s">
        <v>827</v>
      </c>
      <c r="BD91" s="396">
        <v>26</v>
      </c>
      <c r="BE91" s="396" t="s">
        <v>15</v>
      </c>
      <c r="BF91" s="396" t="s">
        <v>825</v>
      </c>
      <c r="BG91" s="396" t="s">
        <v>15</v>
      </c>
      <c r="BH91" s="436" t="s">
        <v>917</v>
      </c>
      <c r="BI91" s="396" t="str">
        <f t="shared" si="20"/>
        <v>Saône-et-Loire Hors périmètre AOC Beaujolais</v>
      </c>
    </row>
    <row r="92" spans="49:61" x14ac:dyDescent="0.25">
      <c r="AW92" s="369" t="s">
        <v>19</v>
      </c>
      <c r="AX92" s="369" t="s">
        <v>135</v>
      </c>
      <c r="AY92" s="369" t="s">
        <v>135</v>
      </c>
      <c r="AZ92" s="369" t="str">
        <f t="shared" si="21"/>
        <v>CorseAbricotierAbricotier</v>
      </c>
      <c r="BB92" s="396">
        <v>72</v>
      </c>
      <c r="BC92" s="396" t="s">
        <v>828</v>
      </c>
      <c r="BD92" s="396">
        <v>52</v>
      </c>
      <c r="BE92" s="396" t="s">
        <v>858</v>
      </c>
      <c r="BF92" s="396"/>
      <c r="BG92" s="396" t="s">
        <v>665</v>
      </c>
      <c r="BH92" s="436" t="s">
        <v>28</v>
      </c>
      <c r="BI92" s="396" t="str">
        <f t="shared" si="20"/>
        <v>Sarthe</v>
      </c>
    </row>
    <row r="93" spans="49:61" x14ac:dyDescent="0.25">
      <c r="AW93" s="369" t="s">
        <v>19</v>
      </c>
      <c r="AX93" s="369" t="s">
        <v>646</v>
      </c>
      <c r="AY93" s="369" t="s">
        <v>143</v>
      </c>
      <c r="AZ93" s="369" t="str">
        <f t="shared" si="21"/>
        <v>CorseAgrumesClémentinier</v>
      </c>
      <c r="BB93" s="396">
        <v>73</v>
      </c>
      <c r="BC93" s="396" t="s">
        <v>829</v>
      </c>
      <c r="BD93" s="396">
        <v>82</v>
      </c>
      <c r="BE93" s="396" t="s">
        <v>32</v>
      </c>
      <c r="BF93" s="396"/>
      <c r="BG93" s="396" t="s">
        <v>54</v>
      </c>
      <c r="BH93" s="436" t="s">
        <v>916</v>
      </c>
      <c r="BI93" s="396" t="str">
        <f t="shared" si="20"/>
        <v>Savoie</v>
      </c>
    </row>
    <row r="94" spans="49:61" x14ac:dyDescent="0.25">
      <c r="AW94" s="369" t="s">
        <v>19</v>
      </c>
      <c r="AX94" s="369" t="s">
        <v>178</v>
      </c>
      <c r="AY94" s="369" t="s">
        <v>170</v>
      </c>
      <c r="AZ94" s="369" t="str">
        <f t="shared" si="21"/>
        <v>CorseAutresPrunier</v>
      </c>
      <c r="BB94" s="396">
        <v>77</v>
      </c>
      <c r="BC94" s="396" t="s">
        <v>833</v>
      </c>
      <c r="BD94" s="396">
        <v>11</v>
      </c>
      <c r="BE94" s="396" t="s">
        <v>860</v>
      </c>
      <c r="BF94" s="396"/>
      <c r="BG94" s="396" t="s">
        <v>657</v>
      </c>
      <c r="BH94" s="436" t="s">
        <v>302</v>
      </c>
      <c r="BI94" s="396" t="str">
        <f t="shared" si="20"/>
        <v>Seine-et-Marne</v>
      </c>
    </row>
    <row r="95" spans="49:61" x14ac:dyDescent="0.25">
      <c r="AW95" s="369" t="s">
        <v>19</v>
      </c>
      <c r="AX95" s="369" t="s">
        <v>140</v>
      </c>
      <c r="AY95" s="369" t="s">
        <v>140</v>
      </c>
      <c r="AZ95" s="369" t="str">
        <f t="shared" si="21"/>
        <v>CorseCerisierCerisier</v>
      </c>
      <c r="BB95" s="396">
        <v>76</v>
      </c>
      <c r="BC95" s="396" t="s">
        <v>832</v>
      </c>
      <c r="BD95" s="396">
        <v>23</v>
      </c>
      <c r="BE95" s="396" t="s">
        <v>21</v>
      </c>
      <c r="BF95" s="396"/>
      <c r="BG95" s="396" t="s">
        <v>666</v>
      </c>
      <c r="BH95" s="436" t="s">
        <v>921</v>
      </c>
      <c r="BI95" s="396" t="str">
        <f t="shared" si="20"/>
        <v>Seine-Maritime</v>
      </c>
    </row>
    <row r="96" spans="49:61" x14ac:dyDescent="0.25">
      <c r="AW96" s="369" t="s">
        <v>19</v>
      </c>
      <c r="AX96" s="369" t="s">
        <v>153</v>
      </c>
      <c r="AY96" s="369" t="s">
        <v>153</v>
      </c>
      <c r="AZ96" s="369" t="str">
        <f t="shared" si="21"/>
        <v>CorseMirabellierMirabellier</v>
      </c>
      <c r="BB96" s="396">
        <v>93</v>
      </c>
      <c r="BC96" s="396" t="s">
        <v>849</v>
      </c>
      <c r="BD96" s="396">
        <v>11</v>
      </c>
      <c r="BE96" s="396" t="s">
        <v>860</v>
      </c>
      <c r="BF96" s="396"/>
      <c r="BG96" s="396" t="s">
        <v>666</v>
      </c>
      <c r="BH96" s="436" t="s">
        <v>302</v>
      </c>
      <c r="BI96" s="396" t="str">
        <f t="shared" si="20"/>
        <v>Seine-Saint-Denis</v>
      </c>
    </row>
    <row r="97" spans="49:61" x14ac:dyDescent="0.25">
      <c r="AW97" s="369" t="s">
        <v>19</v>
      </c>
      <c r="AX97" s="369" t="s">
        <v>159</v>
      </c>
      <c r="AY97" s="369" t="s">
        <v>647</v>
      </c>
      <c r="AZ97" s="369" t="str">
        <f t="shared" si="21"/>
        <v>CorseNectarinierNectarinier-Pêcher</v>
      </c>
      <c r="BB97" s="396">
        <v>80</v>
      </c>
      <c r="BC97" s="396" t="s">
        <v>836</v>
      </c>
      <c r="BD97" s="396">
        <v>22</v>
      </c>
      <c r="BE97" s="396" t="s">
        <v>29</v>
      </c>
      <c r="BF97" s="396"/>
      <c r="BG97" s="396" t="s">
        <v>666</v>
      </c>
      <c r="BH97" s="436" t="s">
        <v>920</v>
      </c>
      <c r="BI97" s="396" t="str">
        <f t="shared" si="20"/>
        <v>Somme</v>
      </c>
    </row>
    <row r="98" spans="49:61" x14ac:dyDescent="0.25">
      <c r="AW98" s="369" t="s">
        <v>19</v>
      </c>
      <c r="AX98" s="369" t="s">
        <v>162</v>
      </c>
      <c r="AY98" s="369" t="s">
        <v>162</v>
      </c>
      <c r="AZ98" s="369" t="str">
        <f t="shared" si="21"/>
        <v>CorseNoyerNoyer</v>
      </c>
      <c r="BB98" s="396">
        <v>81</v>
      </c>
      <c r="BC98" s="396" t="s">
        <v>837</v>
      </c>
      <c r="BD98" s="396">
        <v>73</v>
      </c>
      <c r="BE98" s="396" t="s">
        <v>26</v>
      </c>
      <c r="BF98" s="396"/>
      <c r="BG98" s="396" t="s">
        <v>60</v>
      </c>
      <c r="BH98" s="436" t="s">
        <v>923</v>
      </c>
      <c r="BI98" s="396" t="str">
        <f t="shared" si="20"/>
        <v>Tarn</v>
      </c>
    </row>
    <row r="99" spans="49:61" x14ac:dyDescent="0.25">
      <c r="AW99" s="369" t="s">
        <v>19</v>
      </c>
      <c r="AX99" s="369" t="s">
        <v>166</v>
      </c>
      <c r="AY99" s="369" t="s">
        <v>647</v>
      </c>
      <c r="AZ99" s="369" t="str">
        <f t="shared" si="21"/>
        <v>CorsePêcherNectarinier-Pêcher</v>
      </c>
      <c r="BB99" s="396">
        <v>82</v>
      </c>
      <c r="BC99" s="396" t="s">
        <v>838</v>
      </c>
      <c r="BD99" s="396">
        <v>73</v>
      </c>
      <c r="BE99" s="396" t="s">
        <v>26</v>
      </c>
      <c r="BF99" s="396"/>
      <c r="BG99" s="396" t="s">
        <v>663</v>
      </c>
      <c r="BH99" s="436" t="s">
        <v>923</v>
      </c>
      <c r="BI99" s="396" t="str">
        <f t="shared" si="20"/>
        <v>Tarn-et-Garonne</v>
      </c>
    </row>
    <row r="100" spans="49:61" x14ac:dyDescent="0.25">
      <c r="AW100" s="369" t="s">
        <v>19</v>
      </c>
      <c r="AX100" s="369" t="s">
        <v>167</v>
      </c>
      <c r="AY100" s="369" t="s">
        <v>167</v>
      </c>
      <c r="AZ100" s="369" t="str">
        <f t="shared" si="21"/>
        <v>CorsePoirierPoirier</v>
      </c>
      <c r="BB100" s="396">
        <v>90</v>
      </c>
      <c r="BC100" s="396" t="s">
        <v>846</v>
      </c>
      <c r="BD100" s="396">
        <v>43</v>
      </c>
      <c r="BE100" s="396" t="s">
        <v>20</v>
      </c>
      <c r="BF100" s="396"/>
      <c r="BG100" s="396" t="s">
        <v>666</v>
      </c>
      <c r="BH100" s="436" t="s">
        <v>917</v>
      </c>
      <c r="BI100" s="396" t="str">
        <f t="shared" si="20"/>
        <v>Territoire de Belfort</v>
      </c>
    </row>
    <row r="101" spans="49:61" x14ac:dyDescent="0.25">
      <c r="AW101" s="369" t="s">
        <v>19</v>
      </c>
      <c r="AX101" s="369" t="s">
        <v>169</v>
      </c>
      <c r="AY101" s="369" t="s">
        <v>169</v>
      </c>
      <c r="AZ101" s="369" t="str">
        <f t="shared" si="21"/>
        <v>CorsePommierPommier</v>
      </c>
      <c r="BB101" s="396">
        <v>94</v>
      </c>
      <c r="BC101" s="396" t="s">
        <v>850</v>
      </c>
      <c r="BD101" s="396">
        <v>11</v>
      </c>
      <c r="BE101" s="396" t="s">
        <v>860</v>
      </c>
      <c r="BF101" s="396"/>
      <c r="BG101" s="396" t="s">
        <v>666</v>
      </c>
      <c r="BH101" s="436" t="s">
        <v>302</v>
      </c>
      <c r="BI101" s="396" t="str">
        <f t="shared" ref="BI101:BI109" si="22">TRIM(BC101&amp;" "&amp;BF101)</f>
        <v>Val-de-Marne</v>
      </c>
    </row>
    <row r="102" spans="49:61" x14ac:dyDescent="0.25">
      <c r="AW102" s="369" t="s">
        <v>19</v>
      </c>
      <c r="AX102" s="369" t="s">
        <v>170</v>
      </c>
      <c r="AY102" s="369" t="s">
        <v>170</v>
      </c>
      <c r="AZ102" s="369" t="str">
        <f t="shared" si="21"/>
        <v>CorsePrunierPrunier</v>
      </c>
      <c r="BB102" s="396">
        <v>95</v>
      </c>
      <c r="BC102" s="396" t="s">
        <v>851</v>
      </c>
      <c r="BD102" s="396">
        <v>11</v>
      </c>
      <c r="BE102" s="396" t="s">
        <v>860</v>
      </c>
      <c r="BF102" s="396"/>
      <c r="BG102" s="396" t="s">
        <v>666</v>
      </c>
      <c r="BH102" s="436" t="s">
        <v>302</v>
      </c>
      <c r="BI102" s="396" t="str">
        <f t="shared" si="22"/>
        <v>Val-d'Oise</v>
      </c>
    </row>
    <row r="103" spans="49:61" x14ac:dyDescent="0.25">
      <c r="AW103" s="369" t="s">
        <v>20</v>
      </c>
      <c r="AX103" s="369" t="s">
        <v>135</v>
      </c>
      <c r="AY103" s="369" t="s">
        <v>135</v>
      </c>
      <c r="AZ103" s="369" t="str">
        <f t="shared" si="21"/>
        <v>Franche-ComtéAbricotierAbricotier</v>
      </c>
      <c r="BB103" s="396">
        <v>83</v>
      </c>
      <c r="BC103" s="396" t="s">
        <v>839</v>
      </c>
      <c r="BD103" s="396">
        <v>93</v>
      </c>
      <c r="BE103" s="396" t="s">
        <v>31</v>
      </c>
      <c r="BF103" s="396"/>
      <c r="BG103" s="396" t="s">
        <v>63</v>
      </c>
      <c r="BH103" s="436" t="s">
        <v>31</v>
      </c>
      <c r="BI103" s="396" t="str">
        <f t="shared" si="22"/>
        <v>Var</v>
      </c>
    </row>
    <row r="104" spans="49:61" x14ac:dyDescent="0.25">
      <c r="AW104" s="369" t="s">
        <v>20</v>
      </c>
      <c r="AX104" s="369" t="s">
        <v>646</v>
      </c>
      <c r="AY104" s="369" t="s">
        <v>143</v>
      </c>
      <c r="AZ104" s="369" t="str">
        <f t="shared" si="21"/>
        <v>Franche-ComtéAgrumesClémentinier</v>
      </c>
      <c r="BB104" s="396">
        <v>84</v>
      </c>
      <c r="BC104" s="396" t="s">
        <v>840</v>
      </c>
      <c r="BD104" s="396">
        <v>93</v>
      </c>
      <c r="BE104" s="396" t="s">
        <v>31</v>
      </c>
      <c r="BF104" s="396"/>
      <c r="BG104" s="396" t="s">
        <v>63</v>
      </c>
      <c r="BH104" s="436" t="s">
        <v>31</v>
      </c>
      <c r="BI104" s="396" t="str">
        <f t="shared" si="22"/>
        <v>Vaucluse</v>
      </c>
    </row>
    <row r="105" spans="49:61" x14ac:dyDescent="0.25">
      <c r="AW105" s="369" t="s">
        <v>20</v>
      </c>
      <c r="AX105" s="369" t="s">
        <v>178</v>
      </c>
      <c r="AY105" s="369" t="s">
        <v>170</v>
      </c>
      <c r="AZ105" s="369" t="str">
        <f t="shared" si="21"/>
        <v>Franche-ComtéAutresPrunier</v>
      </c>
      <c r="BB105" s="396">
        <v>85</v>
      </c>
      <c r="BC105" s="396" t="s">
        <v>841</v>
      </c>
      <c r="BD105" s="396">
        <v>52</v>
      </c>
      <c r="BE105" s="396" t="s">
        <v>858</v>
      </c>
      <c r="BF105" s="396"/>
      <c r="BG105" s="396" t="s">
        <v>665</v>
      </c>
      <c r="BH105" s="436" t="s">
        <v>28</v>
      </c>
      <c r="BI105" s="396" t="str">
        <f t="shared" si="22"/>
        <v>Vendée</v>
      </c>
    </row>
    <row r="106" spans="49:61" x14ac:dyDescent="0.25">
      <c r="AW106" s="369" t="s">
        <v>20</v>
      </c>
      <c r="AX106" s="369" t="s">
        <v>140</v>
      </c>
      <c r="AY106" s="369" t="s">
        <v>140</v>
      </c>
      <c r="AZ106" s="369" t="str">
        <f t="shared" si="21"/>
        <v>Franche-ComtéCerisierCerisier</v>
      </c>
      <c r="BB106" s="396">
        <v>86</v>
      </c>
      <c r="BC106" s="396" t="s">
        <v>842</v>
      </c>
      <c r="BD106" s="396">
        <v>54</v>
      </c>
      <c r="BE106" s="396" t="s">
        <v>30</v>
      </c>
      <c r="BF106" s="396"/>
      <c r="BG106" s="396" t="s">
        <v>665</v>
      </c>
      <c r="BH106" s="436" t="s">
        <v>922</v>
      </c>
      <c r="BI106" s="396" t="str">
        <f t="shared" si="22"/>
        <v>Vienne</v>
      </c>
    </row>
    <row r="107" spans="49:61" x14ac:dyDescent="0.25">
      <c r="AW107" s="369" t="s">
        <v>20</v>
      </c>
      <c r="AX107" s="369" t="s">
        <v>153</v>
      </c>
      <c r="AY107" s="369" t="s">
        <v>153</v>
      </c>
      <c r="AZ107" s="369" t="str">
        <f t="shared" si="21"/>
        <v>Franche-ComtéMirabellierMirabellier</v>
      </c>
      <c r="BB107" s="396">
        <v>88</v>
      </c>
      <c r="BC107" s="396" t="s">
        <v>844</v>
      </c>
      <c r="BD107" s="396">
        <v>41</v>
      </c>
      <c r="BE107" s="396" t="s">
        <v>25</v>
      </c>
      <c r="BF107" s="396"/>
      <c r="BG107" s="396" t="s">
        <v>652</v>
      </c>
      <c r="BH107" s="436" t="s">
        <v>2326</v>
      </c>
      <c r="BI107" s="396" t="str">
        <f t="shared" si="22"/>
        <v>Vosges</v>
      </c>
    </row>
    <row r="108" spans="49:61" x14ac:dyDescent="0.25">
      <c r="AW108" s="369" t="s">
        <v>20</v>
      </c>
      <c r="AX108" s="369" t="s">
        <v>159</v>
      </c>
      <c r="AY108" s="369" t="s">
        <v>647</v>
      </c>
      <c r="AZ108" s="369" t="str">
        <f t="shared" si="21"/>
        <v>Franche-ComtéNectarinierNectarinier-Pêcher</v>
      </c>
      <c r="BB108" s="396">
        <v>89</v>
      </c>
      <c r="BC108" s="396" t="s">
        <v>845</v>
      </c>
      <c r="BD108" s="396">
        <v>26</v>
      </c>
      <c r="BE108" s="396" t="s">
        <v>15</v>
      </c>
      <c r="BF108" s="396"/>
      <c r="BG108" s="396" t="s">
        <v>15</v>
      </c>
      <c r="BH108" s="436" t="s">
        <v>917</v>
      </c>
      <c r="BI108" s="396" t="str">
        <f t="shared" si="22"/>
        <v>Yonne</v>
      </c>
    </row>
    <row r="109" spans="49:61" x14ac:dyDescent="0.25">
      <c r="AW109" s="369" t="s">
        <v>20</v>
      </c>
      <c r="AX109" s="369" t="s">
        <v>162</v>
      </c>
      <c r="AY109" s="369" t="s">
        <v>162</v>
      </c>
      <c r="AZ109" s="369" t="str">
        <f t="shared" si="21"/>
        <v>Franche-ComtéNoyerNoyer</v>
      </c>
      <c r="BB109" s="396">
        <v>78</v>
      </c>
      <c r="BC109" s="396" t="s">
        <v>834</v>
      </c>
      <c r="BD109" s="396">
        <v>11</v>
      </c>
      <c r="BE109" s="396" t="s">
        <v>860</v>
      </c>
      <c r="BF109" s="396"/>
      <c r="BG109" s="396" t="s">
        <v>666</v>
      </c>
      <c r="BH109" s="436" t="s">
        <v>302</v>
      </c>
      <c r="BI109" s="396" t="str">
        <f t="shared" si="22"/>
        <v>Yvelines</v>
      </c>
    </row>
    <row r="110" spans="49:61" x14ac:dyDescent="0.25">
      <c r="AW110" s="369" t="s">
        <v>20</v>
      </c>
      <c r="AX110" s="369" t="s">
        <v>166</v>
      </c>
      <c r="AY110" s="369" t="s">
        <v>647</v>
      </c>
      <c r="AZ110" s="369" t="str">
        <f t="shared" si="21"/>
        <v>Franche-ComtéPêcherNectarinier-Pêcher</v>
      </c>
    </row>
    <row r="111" spans="49:61" x14ac:dyDescent="0.25">
      <c r="AW111" s="369" t="s">
        <v>20</v>
      </c>
      <c r="AX111" s="369" t="s">
        <v>167</v>
      </c>
      <c r="AY111" s="369" t="s">
        <v>167</v>
      </c>
      <c r="AZ111" s="369" t="str">
        <f t="shared" si="21"/>
        <v>Franche-ComtéPoirierPoirier</v>
      </c>
    </row>
    <row r="112" spans="49:61" x14ac:dyDescent="0.25">
      <c r="AW112" s="369" t="s">
        <v>20</v>
      </c>
      <c r="AX112" s="369" t="s">
        <v>169</v>
      </c>
      <c r="AY112" s="369" t="s">
        <v>169</v>
      </c>
      <c r="AZ112" s="369" t="str">
        <f t="shared" si="21"/>
        <v>Franche-ComtéPommierPommier</v>
      </c>
    </row>
    <row r="113" spans="49:52" x14ac:dyDescent="0.25">
      <c r="AW113" s="369" t="s">
        <v>20</v>
      </c>
      <c r="AX113" s="369" t="s">
        <v>170</v>
      </c>
      <c r="AY113" s="369" t="s">
        <v>170</v>
      </c>
      <c r="AZ113" s="369" t="str">
        <f t="shared" si="21"/>
        <v>Franche-ComtéPrunierPrunier</v>
      </c>
    </row>
    <row r="114" spans="49:52" x14ac:dyDescent="0.25">
      <c r="AW114" s="369" t="s">
        <v>294</v>
      </c>
      <c r="AX114" s="369" t="s">
        <v>135</v>
      </c>
      <c r="AY114" s="369" t="s">
        <v>179</v>
      </c>
      <c r="AZ114" s="369" t="str">
        <f t="shared" si="21"/>
        <v>GuadeloupeAbricotierBananier</v>
      </c>
    </row>
    <row r="115" spans="49:52" x14ac:dyDescent="0.25">
      <c r="AW115" s="369" t="s">
        <v>294</v>
      </c>
      <c r="AX115" s="369" t="s">
        <v>646</v>
      </c>
      <c r="AY115" s="369" t="s">
        <v>179</v>
      </c>
      <c r="AZ115" s="369" t="str">
        <f t="shared" si="21"/>
        <v>GuadeloupeAgrumesBananier</v>
      </c>
    </row>
    <row r="116" spans="49:52" x14ac:dyDescent="0.25">
      <c r="AW116" s="369" t="s">
        <v>294</v>
      </c>
      <c r="AX116" s="369" t="s">
        <v>178</v>
      </c>
      <c r="AY116" s="369" t="s">
        <v>179</v>
      </c>
      <c r="AZ116" s="369" t="str">
        <f t="shared" si="21"/>
        <v>GuadeloupeAutresBananier</v>
      </c>
    </row>
    <row r="117" spans="49:52" x14ac:dyDescent="0.25">
      <c r="AW117" s="369" t="s">
        <v>294</v>
      </c>
      <c r="AX117" s="369" t="s">
        <v>179</v>
      </c>
      <c r="AY117" s="369" t="s">
        <v>179</v>
      </c>
      <c r="AZ117" s="369" t="str">
        <f t="shared" si="21"/>
        <v>GuadeloupeBananierBananier</v>
      </c>
    </row>
    <row r="118" spans="49:52" x14ac:dyDescent="0.25">
      <c r="AW118" s="369" t="s">
        <v>294</v>
      </c>
      <c r="AX118" s="369" t="s">
        <v>140</v>
      </c>
      <c r="AY118" s="369" t="s">
        <v>179</v>
      </c>
      <c r="AZ118" s="369" t="str">
        <f t="shared" si="21"/>
        <v>GuadeloupeCerisierBananier</v>
      </c>
    </row>
    <row r="119" spans="49:52" x14ac:dyDescent="0.25">
      <c r="AW119" s="369" t="s">
        <v>294</v>
      </c>
      <c r="AX119" s="369" t="s">
        <v>153</v>
      </c>
      <c r="AY119" s="369" t="s">
        <v>179</v>
      </c>
      <c r="AZ119" s="369" t="str">
        <f t="shared" si="21"/>
        <v>GuadeloupeMirabellierBananier</v>
      </c>
    </row>
    <row r="120" spans="49:52" x14ac:dyDescent="0.25">
      <c r="AW120" s="369" t="s">
        <v>294</v>
      </c>
      <c r="AX120" s="369" t="s">
        <v>159</v>
      </c>
      <c r="AY120" s="369" t="s">
        <v>179</v>
      </c>
      <c r="AZ120" s="369" t="str">
        <f t="shared" si="21"/>
        <v>GuadeloupeNectarinierBananier</v>
      </c>
    </row>
    <row r="121" spans="49:52" x14ac:dyDescent="0.25">
      <c r="AW121" s="369" t="s">
        <v>294</v>
      </c>
      <c r="AX121" s="369" t="s">
        <v>162</v>
      </c>
      <c r="AY121" s="369" t="s">
        <v>179</v>
      </c>
      <c r="AZ121" s="369" t="str">
        <f t="shared" si="21"/>
        <v>GuadeloupeNoyerBananier</v>
      </c>
    </row>
    <row r="122" spans="49:52" x14ac:dyDescent="0.25">
      <c r="AW122" s="369" t="s">
        <v>294</v>
      </c>
      <c r="AX122" s="369" t="s">
        <v>166</v>
      </c>
      <c r="AY122" s="369" t="s">
        <v>179</v>
      </c>
      <c r="AZ122" s="369" t="str">
        <f t="shared" si="21"/>
        <v>GuadeloupePêcherBananier</v>
      </c>
    </row>
    <row r="123" spans="49:52" x14ac:dyDescent="0.25">
      <c r="AW123" s="369" t="s">
        <v>294</v>
      </c>
      <c r="AX123" s="369" t="s">
        <v>167</v>
      </c>
      <c r="AY123" s="369" t="s">
        <v>179</v>
      </c>
      <c r="AZ123" s="369" t="str">
        <f t="shared" si="21"/>
        <v>GuadeloupePoirierBananier</v>
      </c>
    </row>
    <row r="124" spans="49:52" x14ac:dyDescent="0.25">
      <c r="AW124" s="369" t="s">
        <v>294</v>
      </c>
      <c r="AX124" s="369" t="s">
        <v>169</v>
      </c>
      <c r="AY124" s="369" t="s">
        <v>179</v>
      </c>
      <c r="AZ124" s="369" t="str">
        <f t="shared" si="21"/>
        <v>GuadeloupePommierBananier</v>
      </c>
    </row>
    <row r="125" spans="49:52" x14ac:dyDescent="0.25">
      <c r="AW125" s="369" t="s">
        <v>294</v>
      </c>
      <c r="AX125" s="369" t="s">
        <v>170</v>
      </c>
      <c r="AY125" s="369" t="s">
        <v>179</v>
      </c>
      <c r="AZ125" s="369" t="str">
        <f t="shared" si="21"/>
        <v>GuadeloupePrunierBananier</v>
      </c>
    </row>
    <row r="126" spans="49:52" x14ac:dyDescent="0.25">
      <c r="AW126" s="369" t="s">
        <v>295</v>
      </c>
      <c r="AX126" s="369" t="s">
        <v>135</v>
      </c>
      <c r="AY126" s="369" t="s">
        <v>646</v>
      </c>
      <c r="AZ126" s="369" t="str">
        <f t="shared" si="21"/>
        <v>GuyaneAbricotierAgrumes</v>
      </c>
    </row>
    <row r="127" spans="49:52" x14ac:dyDescent="0.25">
      <c r="AW127" s="369" t="s">
        <v>295</v>
      </c>
      <c r="AX127" s="369" t="s">
        <v>646</v>
      </c>
      <c r="AY127" s="369" t="s">
        <v>646</v>
      </c>
      <c r="AZ127" s="369" t="str">
        <f t="shared" si="21"/>
        <v>GuyaneAgrumesAgrumes</v>
      </c>
    </row>
    <row r="128" spans="49:52" x14ac:dyDescent="0.25">
      <c r="AW128" s="369" t="s">
        <v>295</v>
      </c>
      <c r="AX128" s="369" t="s">
        <v>178</v>
      </c>
      <c r="AY128" s="369" t="s">
        <v>646</v>
      </c>
      <c r="AZ128" s="369" t="str">
        <f t="shared" si="21"/>
        <v>GuyaneAutresAgrumes</v>
      </c>
    </row>
    <row r="129" spans="49:52" x14ac:dyDescent="0.25">
      <c r="AW129" s="369" t="s">
        <v>295</v>
      </c>
      <c r="AX129" s="369" t="s">
        <v>179</v>
      </c>
      <c r="AY129" s="369" t="s">
        <v>646</v>
      </c>
      <c r="AZ129" s="369" t="str">
        <f t="shared" si="21"/>
        <v>GuyaneBananierAgrumes</v>
      </c>
    </row>
    <row r="130" spans="49:52" x14ac:dyDescent="0.25">
      <c r="AW130" s="369" t="s">
        <v>295</v>
      </c>
      <c r="AX130" s="369" t="s">
        <v>140</v>
      </c>
      <c r="AY130" s="369" t="s">
        <v>646</v>
      </c>
      <c r="AZ130" s="369" t="str">
        <f t="shared" si="21"/>
        <v>GuyaneCerisierAgrumes</v>
      </c>
    </row>
    <row r="131" spans="49:52" x14ac:dyDescent="0.25">
      <c r="AW131" s="369" t="s">
        <v>295</v>
      </c>
      <c r="AX131" s="369" t="s">
        <v>153</v>
      </c>
      <c r="AY131" s="369" t="s">
        <v>646</v>
      </c>
      <c r="AZ131" s="369" t="str">
        <f t="shared" si="21"/>
        <v>GuyaneMirabellierAgrumes</v>
      </c>
    </row>
    <row r="132" spans="49:52" x14ac:dyDescent="0.25">
      <c r="AW132" s="369" t="s">
        <v>295</v>
      </c>
      <c r="AX132" s="369" t="s">
        <v>159</v>
      </c>
      <c r="AY132" s="369" t="s">
        <v>646</v>
      </c>
      <c r="AZ132" s="369" t="str">
        <f t="shared" si="21"/>
        <v>GuyaneNectarinierAgrumes</v>
      </c>
    </row>
    <row r="133" spans="49:52" x14ac:dyDescent="0.25">
      <c r="AW133" s="369" t="s">
        <v>295</v>
      </c>
      <c r="AX133" s="369" t="s">
        <v>162</v>
      </c>
      <c r="AY133" s="369" t="s">
        <v>646</v>
      </c>
      <c r="AZ133" s="369" t="str">
        <f t="shared" si="21"/>
        <v>GuyaneNoyerAgrumes</v>
      </c>
    </row>
    <row r="134" spans="49:52" x14ac:dyDescent="0.25">
      <c r="AW134" s="369" t="s">
        <v>295</v>
      </c>
      <c r="AX134" s="369" t="s">
        <v>166</v>
      </c>
      <c r="AY134" s="369" t="s">
        <v>646</v>
      </c>
      <c r="AZ134" s="369" t="str">
        <f t="shared" ref="AZ134:AZ197" si="23">AW134&amp;AX134&amp;AY134</f>
        <v>GuyanePêcherAgrumes</v>
      </c>
    </row>
    <row r="135" spans="49:52" x14ac:dyDescent="0.25">
      <c r="AW135" s="369" t="s">
        <v>295</v>
      </c>
      <c r="AX135" s="369" t="s">
        <v>167</v>
      </c>
      <c r="AY135" s="369" t="s">
        <v>646</v>
      </c>
      <c r="AZ135" s="369" t="str">
        <f t="shared" si="23"/>
        <v>GuyanePoirierAgrumes</v>
      </c>
    </row>
    <row r="136" spans="49:52" x14ac:dyDescent="0.25">
      <c r="AW136" s="369" t="s">
        <v>295</v>
      </c>
      <c r="AX136" s="369" t="s">
        <v>169</v>
      </c>
      <c r="AY136" s="369" t="s">
        <v>646</v>
      </c>
      <c r="AZ136" s="369" t="str">
        <f t="shared" si="23"/>
        <v>GuyanePommierAgrumes</v>
      </c>
    </row>
    <row r="137" spans="49:52" x14ac:dyDescent="0.25">
      <c r="AW137" s="369" t="s">
        <v>295</v>
      </c>
      <c r="AX137" s="369" t="s">
        <v>170</v>
      </c>
      <c r="AY137" s="369" t="s">
        <v>646</v>
      </c>
      <c r="AZ137" s="369" t="str">
        <f t="shared" si="23"/>
        <v>GuyanePrunierAgrumes</v>
      </c>
    </row>
    <row r="138" spans="49:52" x14ac:dyDescent="0.25">
      <c r="AW138" s="369" t="s">
        <v>21</v>
      </c>
      <c r="AX138" s="369" t="s">
        <v>135</v>
      </c>
      <c r="AY138" s="369" t="s">
        <v>135</v>
      </c>
      <c r="AZ138" s="369" t="str">
        <f t="shared" si="23"/>
        <v>Haute-NormandieAbricotierAbricotier</v>
      </c>
    </row>
    <row r="139" spans="49:52" x14ac:dyDescent="0.25">
      <c r="AW139" s="369" t="s">
        <v>21</v>
      </c>
      <c r="AX139" s="369" t="s">
        <v>646</v>
      </c>
      <c r="AY139" s="369" t="s">
        <v>143</v>
      </c>
      <c r="AZ139" s="369" t="str">
        <f t="shared" si="23"/>
        <v>Haute-NormandieAgrumesClémentinier</v>
      </c>
    </row>
    <row r="140" spans="49:52" x14ac:dyDescent="0.25">
      <c r="AW140" s="369" t="s">
        <v>21</v>
      </c>
      <c r="AX140" s="369" t="s">
        <v>178</v>
      </c>
      <c r="AY140" s="369" t="s">
        <v>170</v>
      </c>
      <c r="AZ140" s="369" t="str">
        <f t="shared" si="23"/>
        <v>Haute-NormandieAutresPrunier</v>
      </c>
    </row>
    <row r="141" spans="49:52" x14ac:dyDescent="0.25">
      <c r="AW141" s="369" t="s">
        <v>21</v>
      </c>
      <c r="AX141" s="369" t="s">
        <v>140</v>
      </c>
      <c r="AY141" s="369" t="s">
        <v>140</v>
      </c>
      <c r="AZ141" s="369" t="str">
        <f t="shared" si="23"/>
        <v>Haute-NormandieCerisierCerisier</v>
      </c>
    </row>
    <row r="142" spans="49:52" x14ac:dyDescent="0.25">
      <c r="AW142" s="369" t="s">
        <v>21</v>
      </c>
      <c r="AX142" s="369" t="s">
        <v>153</v>
      </c>
      <c r="AY142" s="369" t="s">
        <v>153</v>
      </c>
      <c r="AZ142" s="369" t="str">
        <f t="shared" si="23"/>
        <v>Haute-NormandieMirabellierMirabellier</v>
      </c>
    </row>
    <row r="143" spans="49:52" x14ac:dyDescent="0.25">
      <c r="AW143" s="369" t="s">
        <v>21</v>
      </c>
      <c r="AX143" s="369" t="s">
        <v>159</v>
      </c>
      <c r="AY143" s="369" t="s">
        <v>647</v>
      </c>
      <c r="AZ143" s="369" t="str">
        <f t="shared" si="23"/>
        <v>Haute-NormandieNectarinierNectarinier-Pêcher</v>
      </c>
    </row>
    <row r="144" spans="49:52" x14ac:dyDescent="0.25">
      <c r="AW144" s="369" t="s">
        <v>21</v>
      </c>
      <c r="AX144" s="369" t="s">
        <v>162</v>
      </c>
      <c r="AY144" s="369" t="s">
        <v>162</v>
      </c>
      <c r="AZ144" s="369" t="str">
        <f t="shared" si="23"/>
        <v>Haute-NormandieNoyerNoyer</v>
      </c>
    </row>
    <row r="145" spans="49:52" x14ac:dyDescent="0.25">
      <c r="AW145" s="369" t="s">
        <v>21</v>
      </c>
      <c r="AX145" s="369" t="s">
        <v>166</v>
      </c>
      <c r="AY145" s="369" t="s">
        <v>647</v>
      </c>
      <c r="AZ145" s="369" t="str">
        <f t="shared" si="23"/>
        <v>Haute-NormandiePêcherNectarinier-Pêcher</v>
      </c>
    </row>
    <row r="146" spans="49:52" x14ac:dyDescent="0.25">
      <c r="AW146" s="369" t="s">
        <v>21</v>
      </c>
      <c r="AX146" s="369" t="s">
        <v>167</v>
      </c>
      <c r="AY146" s="369" t="s">
        <v>167</v>
      </c>
      <c r="AZ146" s="369" t="str">
        <f t="shared" si="23"/>
        <v>Haute-NormandiePoirierPoirier</v>
      </c>
    </row>
    <row r="147" spans="49:52" x14ac:dyDescent="0.25">
      <c r="AW147" s="369" t="s">
        <v>21</v>
      </c>
      <c r="AX147" s="369" t="s">
        <v>169</v>
      </c>
      <c r="AY147" s="369" t="s">
        <v>169</v>
      </c>
      <c r="AZ147" s="369" t="str">
        <f t="shared" si="23"/>
        <v>Haute-NormandiePommierPommier</v>
      </c>
    </row>
    <row r="148" spans="49:52" x14ac:dyDescent="0.25">
      <c r="AW148" s="369" t="s">
        <v>21</v>
      </c>
      <c r="AX148" s="369" t="s">
        <v>170</v>
      </c>
      <c r="AY148" s="369" t="s">
        <v>170</v>
      </c>
      <c r="AZ148" s="369" t="str">
        <f t="shared" si="23"/>
        <v>Haute-NormandiePrunierPrunier</v>
      </c>
    </row>
    <row r="149" spans="49:52" x14ac:dyDescent="0.25">
      <c r="AW149" s="369" t="s">
        <v>302</v>
      </c>
      <c r="AX149" s="369" t="s">
        <v>135</v>
      </c>
      <c r="AY149" s="369" t="s">
        <v>135</v>
      </c>
      <c r="AZ149" s="369" t="str">
        <f t="shared" si="23"/>
        <v>Île-de-FranceAbricotierAbricotier</v>
      </c>
    </row>
    <row r="150" spans="49:52" x14ac:dyDescent="0.25">
      <c r="AW150" s="369" t="s">
        <v>302</v>
      </c>
      <c r="AX150" s="369" t="s">
        <v>646</v>
      </c>
      <c r="AY150" s="369" t="s">
        <v>143</v>
      </c>
      <c r="AZ150" s="369" t="str">
        <f t="shared" si="23"/>
        <v>Île-de-FranceAgrumesClémentinier</v>
      </c>
    </row>
    <row r="151" spans="49:52" x14ac:dyDescent="0.25">
      <c r="AW151" s="369" t="s">
        <v>302</v>
      </c>
      <c r="AX151" s="369" t="s">
        <v>178</v>
      </c>
      <c r="AY151" s="369" t="s">
        <v>170</v>
      </c>
      <c r="AZ151" s="369" t="str">
        <f t="shared" si="23"/>
        <v>Île-de-FranceAutresPrunier</v>
      </c>
    </row>
    <row r="152" spans="49:52" x14ac:dyDescent="0.25">
      <c r="AW152" s="369" t="s">
        <v>302</v>
      </c>
      <c r="AX152" s="369" t="s">
        <v>140</v>
      </c>
      <c r="AY152" s="369" t="s">
        <v>140</v>
      </c>
      <c r="AZ152" s="369" t="str">
        <f t="shared" si="23"/>
        <v>Île-de-FranceCerisierCerisier</v>
      </c>
    </row>
    <row r="153" spans="49:52" x14ac:dyDescent="0.25">
      <c r="AW153" s="369" t="s">
        <v>302</v>
      </c>
      <c r="AX153" s="369" t="s">
        <v>153</v>
      </c>
      <c r="AY153" s="369" t="s">
        <v>153</v>
      </c>
      <c r="AZ153" s="369" t="str">
        <f t="shared" si="23"/>
        <v>Île-de-FranceMirabellierMirabellier</v>
      </c>
    </row>
    <row r="154" spans="49:52" x14ac:dyDescent="0.25">
      <c r="AW154" s="369" t="s">
        <v>302</v>
      </c>
      <c r="AX154" s="369" t="s">
        <v>159</v>
      </c>
      <c r="AY154" s="369" t="s">
        <v>647</v>
      </c>
      <c r="AZ154" s="369" t="str">
        <f t="shared" si="23"/>
        <v>Île-de-FranceNectarinierNectarinier-Pêcher</v>
      </c>
    </row>
    <row r="155" spans="49:52" x14ac:dyDescent="0.25">
      <c r="AW155" s="369" t="s">
        <v>302</v>
      </c>
      <c r="AX155" s="369" t="s">
        <v>162</v>
      </c>
      <c r="AY155" s="369" t="s">
        <v>162</v>
      </c>
      <c r="AZ155" s="369" t="str">
        <f t="shared" si="23"/>
        <v>Île-de-FranceNoyerNoyer</v>
      </c>
    </row>
    <row r="156" spans="49:52" x14ac:dyDescent="0.25">
      <c r="AW156" s="369" t="s">
        <v>302</v>
      </c>
      <c r="AX156" s="369" t="s">
        <v>166</v>
      </c>
      <c r="AY156" s="369" t="s">
        <v>647</v>
      </c>
      <c r="AZ156" s="369" t="str">
        <f t="shared" si="23"/>
        <v>Île-de-FrancePêcherNectarinier-Pêcher</v>
      </c>
    </row>
    <row r="157" spans="49:52" x14ac:dyDescent="0.25">
      <c r="AW157" s="369" t="s">
        <v>302</v>
      </c>
      <c r="AX157" s="369" t="s">
        <v>167</v>
      </c>
      <c r="AY157" s="369" t="s">
        <v>167</v>
      </c>
      <c r="AZ157" s="369" t="str">
        <f t="shared" si="23"/>
        <v>Île-de-FrancePoirierPoirier</v>
      </c>
    </row>
    <row r="158" spans="49:52" x14ac:dyDescent="0.25">
      <c r="AW158" s="369" t="s">
        <v>302</v>
      </c>
      <c r="AX158" s="369" t="s">
        <v>169</v>
      </c>
      <c r="AY158" s="369" t="s">
        <v>169</v>
      </c>
      <c r="AZ158" s="369" t="str">
        <f t="shared" si="23"/>
        <v>Île-de-FrancePommierPommier</v>
      </c>
    </row>
    <row r="159" spans="49:52" x14ac:dyDescent="0.25">
      <c r="AW159" s="369" t="s">
        <v>302</v>
      </c>
      <c r="AX159" s="369" t="s">
        <v>170</v>
      </c>
      <c r="AY159" s="369" t="s">
        <v>170</v>
      </c>
      <c r="AZ159" s="369" t="str">
        <f t="shared" si="23"/>
        <v>Île-de-FrancePrunierPrunier</v>
      </c>
    </row>
    <row r="160" spans="49:52" x14ac:dyDescent="0.25">
      <c r="AW160" s="369" t="s">
        <v>23</v>
      </c>
      <c r="AX160" s="369" t="s">
        <v>135</v>
      </c>
      <c r="AY160" s="369" t="s">
        <v>135</v>
      </c>
      <c r="AZ160" s="369" t="str">
        <f t="shared" si="23"/>
        <v>Languedoc-RoussillonAbricotierAbricotier</v>
      </c>
    </row>
    <row r="161" spans="49:52" x14ac:dyDescent="0.25">
      <c r="AW161" s="369" t="s">
        <v>23</v>
      </c>
      <c r="AX161" s="369" t="s">
        <v>646</v>
      </c>
      <c r="AY161" s="369" t="s">
        <v>143</v>
      </c>
      <c r="AZ161" s="369" t="str">
        <f t="shared" si="23"/>
        <v>Languedoc-RoussillonAgrumesClémentinier</v>
      </c>
    </row>
    <row r="162" spans="49:52" x14ac:dyDescent="0.25">
      <c r="AW162" s="369" t="s">
        <v>23</v>
      </c>
      <c r="AX162" s="369" t="s">
        <v>178</v>
      </c>
      <c r="AY162" s="369" t="s">
        <v>170</v>
      </c>
      <c r="AZ162" s="369" t="str">
        <f t="shared" si="23"/>
        <v>Languedoc-RoussillonAutresPrunier</v>
      </c>
    </row>
    <row r="163" spans="49:52" x14ac:dyDescent="0.25">
      <c r="AW163" s="369" t="s">
        <v>23</v>
      </c>
      <c r="AX163" s="369" t="s">
        <v>140</v>
      </c>
      <c r="AY163" s="369" t="s">
        <v>140</v>
      </c>
      <c r="AZ163" s="369" t="str">
        <f t="shared" si="23"/>
        <v>Languedoc-RoussillonCerisierCerisier</v>
      </c>
    </row>
    <row r="164" spans="49:52" x14ac:dyDescent="0.25">
      <c r="AW164" s="369" t="s">
        <v>23</v>
      </c>
      <c r="AX164" s="369" t="s">
        <v>153</v>
      </c>
      <c r="AY164" s="369" t="s">
        <v>153</v>
      </c>
      <c r="AZ164" s="369" t="str">
        <f t="shared" si="23"/>
        <v>Languedoc-RoussillonMirabellierMirabellier</v>
      </c>
    </row>
    <row r="165" spans="49:52" x14ac:dyDescent="0.25">
      <c r="AW165" s="369" t="s">
        <v>23</v>
      </c>
      <c r="AX165" s="369" t="s">
        <v>159</v>
      </c>
      <c r="AY165" s="369" t="s">
        <v>647</v>
      </c>
      <c r="AZ165" s="369" t="str">
        <f t="shared" si="23"/>
        <v>Languedoc-RoussillonNectarinierNectarinier-Pêcher</v>
      </c>
    </row>
    <row r="166" spans="49:52" x14ac:dyDescent="0.25">
      <c r="AW166" s="369" t="s">
        <v>23</v>
      </c>
      <c r="AX166" s="369" t="s">
        <v>162</v>
      </c>
      <c r="AY166" s="369" t="s">
        <v>162</v>
      </c>
      <c r="AZ166" s="369" t="str">
        <f t="shared" si="23"/>
        <v>Languedoc-RoussillonNoyerNoyer</v>
      </c>
    </row>
    <row r="167" spans="49:52" x14ac:dyDescent="0.25">
      <c r="AW167" s="369" t="s">
        <v>23</v>
      </c>
      <c r="AX167" s="369" t="s">
        <v>166</v>
      </c>
      <c r="AY167" s="369" t="s">
        <v>647</v>
      </c>
      <c r="AZ167" s="369" t="str">
        <f t="shared" si="23"/>
        <v>Languedoc-RoussillonPêcherNectarinier-Pêcher</v>
      </c>
    </row>
    <row r="168" spans="49:52" x14ac:dyDescent="0.25">
      <c r="AW168" s="369" t="s">
        <v>23</v>
      </c>
      <c r="AX168" s="369" t="s">
        <v>167</v>
      </c>
      <c r="AY168" s="369" t="s">
        <v>167</v>
      </c>
      <c r="AZ168" s="369" t="str">
        <f t="shared" si="23"/>
        <v>Languedoc-RoussillonPoirierPoirier</v>
      </c>
    </row>
    <row r="169" spans="49:52" x14ac:dyDescent="0.25">
      <c r="AW169" s="369" t="s">
        <v>23</v>
      </c>
      <c r="AX169" s="369" t="s">
        <v>169</v>
      </c>
      <c r="AY169" s="369" t="s">
        <v>169</v>
      </c>
      <c r="AZ169" s="369" t="str">
        <f t="shared" si="23"/>
        <v>Languedoc-RoussillonPommierPommier</v>
      </c>
    </row>
    <row r="170" spans="49:52" x14ac:dyDescent="0.25">
      <c r="AW170" s="369" t="s">
        <v>23</v>
      </c>
      <c r="AX170" s="369" t="s">
        <v>170</v>
      </c>
      <c r="AY170" s="369" t="s">
        <v>170</v>
      </c>
      <c r="AZ170" s="369" t="str">
        <f t="shared" si="23"/>
        <v>Languedoc-RoussillonPrunierPrunier</v>
      </c>
    </row>
    <row r="171" spans="49:52" x14ac:dyDescent="0.25">
      <c r="AW171" s="369" t="s">
        <v>24</v>
      </c>
      <c r="AX171" s="369" t="s">
        <v>135</v>
      </c>
      <c r="AY171" s="369" t="s">
        <v>135</v>
      </c>
      <c r="AZ171" s="369" t="str">
        <f t="shared" si="23"/>
        <v>LimousinAbricotierAbricotier</v>
      </c>
    </row>
    <row r="172" spans="49:52" x14ac:dyDescent="0.25">
      <c r="AW172" s="369" t="s">
        <v>24</v>
      </c>
      <c r="AX172" s="369" t="s">
        <v>646</v>
      </c>
      <c r="AY172" s="369" t="s">
        <v>143</v>
      </c>
      <c r="AZ172" s="369" t="str">
        <f t="shared" si="23"/>
        <v>LimousinAgrumesClémentinier</v>
      </c>
    </row>
    <row r="173" spans="49:52" x14ac:dyDescent="0.25">
      <c r="AW173" s="369" t="s">
        <v>24</v>
      </c>
      <c r="AX173" s="369" t="s">
        <v>178</v>
      </c>
      <c r="AY173" s="369" t="s">
        <v>170</v>
      </c>
      <c r="AZ173" s="369" t="str">
        <f t="shared" si="23"/>
        <v>LimousinAutresPrunier</v>
      </c>
    </row>
    <row r="174" spans="49:52" x14ac:dyDescent="0.25">
      <c r="AW174" s="369" t="s">
        <v>24</v>
      </c>
      <c r="AX174" s="369" t="s">
        <v>140</v>
      </c>
      <c r="AY174" s="369" t="s">
        <v>140</v>
      </c>
      <c r="AZ174" s="369" t="str">
        <f t="shared" si="23"/>
        <v>LimousinCerisierCerisier</v>
      </c>
    </row>
    <row r="175" spans="49:52" x14ac:dyDescent="0.25">
      <c r="AW175" s="369" t="s">
        <v>24</v>
      </c>
      <c r="AX175" s="369" t="s">
        <v>153</v>
      </c>
      <c r="AY175" s="369" t="s">
        <v>153</v>
      </c>
      <c r="AZ175" s="369" t="str">
        <f t="shared" si="23"/>
        <v>LimousinMirabellierMirabellier</v>
      </c>
    </row>
    <row r="176" spans="49:52" x14ac:dyDescent="0.25">
      <c r="AW176" s="369" t="s">
        <v>24</v>
      </c>
      <c r="AX176" s="369" t="s">
        <v>159</v>
      </c>
      <c r="AY176" s="369" t="s">
        <v>647</v>
      </c>
      <c r="AZ176" s="369" t="str">
        <f t="shared" si="23"/>
        <v>LimousinNectarinierNectarinier-Pêcher</v>
      </c>
    </row>
    <row r="177" spans="49:52" x14ac:dyDescent="0.25">
      <c r="AW177" s="369" t="s">
        <v>24</v>
      </c>
      <c r="AX177" s="369" t="s">
        <v>162</v>
      </c>
      <c r="AY177" s="369" t="s">
        <v>162</v>
      </c>
      <c r="AZ177" s="369" t="str">
        <f t="shared" si="23"/>
        <v>LimousinNoyerNoyer</v>
      </c>
    </row>
    <row r="178" spans="49:52" x14ac:dyDescent="0.25">
      <c r="AW178" s="369" t="s">
        <v>24</v>
      </c>
      <c r="AX178" s="369" t="s">
        <v>166</v>
      </c>
      <c r="AY178" s="369" t="s">
        <v>647</v>
      </c>
      <c r="AZ178" s="369" t="str">
        <f t="shared" si="23"/>
        <v>LimousinPêcherNectarinier-Pêcher</v>
      </c>
    </row>
    <row r="179" spans="49:52" x14ac:dyDescent="0.25">
      <c r="AW179" s="369" t="s">
        <v>24</v>
      </c>
      <c r="AX179" s="369" t="s">
        <v>167</v>
      </c>
      <c r="AY179" s="369" t="s">
        <v>167</v>
      </c>
      <c r="AZ179" s="369" t="str">
        <f t="shared" si="23"/>
        <v>LimousinPoirierPoirier</v>
      </c>
    </row>
    <row r="180" spans="49:52" x14ac:dyDescent="0.25">
      <c r="AW180" s="369" t="s">
        <v>24</v>
      </c>
      <c r="AX180" s="369" t="s">
        <v>169</v>
      </c>
      <c r="AY180" s="369" t="s">
        <v>169</v>
      </c>
      <c r="AZ180" s="369" t="str">
        <f t="shared" si="23"/>
        <v>LimousinPommierPommier</v>
      </c>
    </row>
    <row r="181" spans="49:52" x14ac:dyDescent="0.25">
      <c r="AW181" s="369" t="s">
        <v>24</v>
      </c>
      <c r="AX181" s="369" t="s">
        <v>170</v>
      </c>
      <c r="AY181" s="369" t="s">
        <v>170</v>
      </c>
      <c r="AZ181" s="369" t="str">
        <f t="shared" si="23"/>
        <v>LimousinPrunierPrunier</v>
      </c>
    </row>
    <row r="182" spans="49:52" x14ac:dyDescent="0.25">
      <c r="AW182" s="369" t="s">
        <v>25</v>
      </c>
      <c r="AX182" s="369" t="s">
        <v>135</v>
      </c>
      <c r="AY182" s="369" t="s">
        <v>135</v>
      </c>
      <c r="AZ182" s="369" t="str">
        <f t="shared" si="23"/>
        <v>LorraineAbricotierAbricotier</v>
      </c>
    </row>
    <row r="183" spans="49:52" x14ac:dyDescent="0.25">
      <c r="AW183" s="369" t="s">
        <v>25</v>
      </c>
      <c r="AX183" s="369" t="s">
        <v>646</v>
      </c>
      <c r="AY183" s="369" t="s">
        <v>143</v>
      </c>
      <c r="AZ183" s="369" t="str">
        <f t="shared" si="23"/>
        <v>LorraineAgrumesClémentinier</v>
      </c>
    </row>
    <row r="184" spans="49:52" x14ac:dyDescent="0.25">
      <c r="AW184" s="369" t="s">
        <v>25</v>
      </c>
      <c r="AX184" s="369" t="s">
        <v>178</v>
      </c>
      <c r="AY184" s="369" t="s">
        <v>170</v>
      </c>
      <c r="AZ184" s="369" t="str">
        <f t="shared" si="23"/>
        <v>LorraineAutresPrunier</v>
      </c>
    </row>
    <row r="185" spans="49:52" x14ac:dyDescent="0.25">
      <c r="AW185" s="369" t="s">
        <v>25</v>
      </c>
      <c r="AX185" s="369" t="s">
        <v>140</v>
      </c>
      <c r="AY185" s="369" t="s">
        <v>140</v>
      </c>
      <c r="AZ185" s="369" t="str">
        <f t="shared" si="23"/>
        <v>LorraineCerisierCerisier</v>
      </c>
    </row>
    <row r="186" spans="49:52" x14ac:dyDescent="0.25">
      <c r="AW186" s="369" t="s">
        <v>25</v>
      </c>
      <c r="AX186" s="369" t="s">
        <v>153</v>
      </c>
      <c r="AY186" s="369" t="s">
        <v>153</v>
      </c>
      <c r="AZ186" s="369" t="str">
        <f t="shared" si="23"/>
        <v>LorraineMirabellierMirabellier</v>
      </c>
    </row>
    <row r="187" spans="49:52" x14ac:dyDescent="0.25">
      <c r="AW187" s="369" t="s">
        <v>25</v>
      </c>
      <c r="AX187" s="369" t="s">
        <v>159</v>
      </c>
      <c r="AY187" s="369" t="s">
        <v>647</v>
      </c>
      <c r="AZ187" s="369" t="str">
        <f t="shared" si="23"/>
        <v>LorraineNectarinierNectarinier-Pêcher</v>
      </c>
    </row>
    <row r="188" spans="49:52" x14ac:dyDescent="0.25">
      <c r="AW188" s="369" t="s">
        <v>25</v>
      </c>
      <c r="AX188" s="369" t="s">
        <v>162</v>
      </c>
      <c r="AY188" s="369" t="s">
        <v>162</v>
      </c>
      <c r="AZ188" s="369" t="str">
        <f t="shared" si="23"/>
        <v>LorraineNoyerNoyer</v>
      </c>
    </row>
    <row r="189" spans="49:52" x14ac:dyDescent="0.25">
      <c r="AW189" s="369" t="s">
        <v>25</v>
      </c>
      <c r="AX189" s="369" t="s">
        <v>166</v>
      </c>
      <c r="AY189" s="369" t="s">
        <v>647</v>
      </c>
      <c r="AZ189" s="369" t="str">
        <f t="shared" si="23"/>
        <v>LorrainePêcherNectarinier-Pêcher</v>
      </c>
    </row>
    <row r="190" spans="49:52" x14ac:dyDescent="0.25">
      <c r="AW190" s="369" t="s">
        <v>25</v>
      </c>
      <c r="AX190" s="369" t="s">
        <v>167</v>
      </c>
      <c r="AY190" s="369" t="s">
        <v>167</v>
      </c>
      <c r="AZ190" s="369" t="str">
        <f t="shared" si="23"/>
        <v>LorrainePoirierPoirier</v>
      </c>
    </row>
    <row r="191" spans="49:52" x14ac:dyDescent="0.25">
      <c r="AW191" s="369" t="s">
        <v>25</v>
      </c>
      <c r="AX191" s="369" t="s">
        <v>169</v>
      </c>
      <c r="AY191" s="369" t="s">
        <v>169</v>
      </c>
      <c r="AZ191" s="369" t="str">
        <f t="shared" si="23"/>
        <v>LorrainePommierPommier</v>
      </c>
    </row>
    <row r="192" spans="49:52" x14ac:dyDescent="0.25">
      <c r="AW192" s="369" t="s">
        <v>25</v>
      </c>
      <c r="AX192" s="369" t="s">
        <v>170</v>
      </c>
      <c r="AY192" s="369" t="s">
        <v>170</v>
      </c>
      <c r="AZ192" s="369" t="str">
        <f t="shared" si="23"/>
        <v>LorrainePrunierPrunier</v>
      </c>
    </row>
    <row r="193" spans="49:52" x14ac:dyDescent="0.25">
      <c r="AW193" s="369" t="s">
        <v>296</v>
      </c>
      <c r="AX193" s="369" t="s">
        <v>135</v>
      </c>
      <c r="AY193" s="369" t="s">
        <v>179</v>
      </c>
      <c r="AZ193" s="369" t="str">
        <f t="shared" si="23"/>
        <v>MartiniqueAbricotierBananier</v>
      </c>
    </row>
    <row r="194" spans="49:52" x14ac:dyDescent="0.25">
      <c r="AW194" s="369" t="s">
        <v>296</v>
      </c>
      <c r="AX194" s="369" t="s">
        <v>646</v>
      </c>
      <c r="AY194" s="369" t="s">
        <v>179</v>
      </c>
      <c r="AZ194" s="369" t="str">
        <f t="shared" si="23"/>
        <v>MartiniqueAgrumesBananier</v>
      </c>
    </row>
    <row r="195" spans="49:52" x14ac:dyDescent="0.25">
      <c r="AW195" s="369" t="s">
        <v>296</v>
      </c>
      <c r="AX195" s="369" t="s">
        <v>178</v>
      </c>
      <c r="AY195" s="369" t="s">
        <v>179</v>
      </c>
      <c r="AZ195" s="369" t="str">
        <f t="shared" si="23"/>
        <v>MartiniqueAutresBananier</v>
      </c>
    </row>
    <row r="196" spans="49:52" x14ac:dyDescent="0.25">
      <c r="AW196" s="369" t="s">
        <v>296</v>
      </c>
      <c r="AX196" s="369" t="s">
        <v>179</v>
      </c>
      <c r="AY196" s="369" t="s">
        <v>179</v>
      </c>
      <c r="AZ196" s="369" t="str">
        <f t="shared" si="23"/>
        <v>MartiniqueBananierBananier</v>
      </c>
    </row>
    <row r="197" spans="49:52" x14ac:dyDescent="0.25">
      <c r="AW197" s="369" t="s">
        <v>296</v>
      </c>
      <c r="AX197" s="369" t="s">
        <v>140</v>
      </c>
      <c r="AY197" s="369" t="s">
        <v>179</v>
      </c>
      <c r="AZ197" s="369" t="str">
        <f t="shared" si="23"/>
        <v>MartiniqueCerisierBananier</v>
      </c>
    </row>
    <row r="198" spans="49:52" x14ac:dyDescent="0.25">
      <c r="AW198" s="369" t="s">
        <v>296</v>
      </c>
      <c r="AX198" s="369" t="s">
        <v>153</v>
      </c>
      <c r="AY198" s="369" t="s">
        <v>179</v>
      </c>
      <c r="AZ198" s="369" t="str">
        <f t="shared" ref="AZ198:AZ261" si="24">AW198&amp;AX198&amp;AY198</f>
        <v>MartiniqueMirabellierBananier</v>
      </c>
    </row>
    <row r="199" spans="49:52" x14ac:dyDescent="0.25">
      <c r="AW199" s="369" t="s">
        <v>296</v>
      </c>
      <c r="AX199" s="369" t="s">
        <v>159</v>
      </c>
      <c r="AY199" s="369" t="s">
        <v>179</v>
      </c>
      <c r="AZ199" s="369" t="str">
        <f t="shared" si="24"/>
        <v>MartiniqueNectarinierBananier</v>
      </c>
    </row>
    <row r="200" spans="49:52" x14ac:dyDescent="0.25">
      <c r="AW200" s="369" t="s">
        <v>296</v>
      </c>
      <c r="AX200" s="369" t="s">
        <v>162</v>
      </c>
      <c r="AY200" s="369" t="s">
        <v>179</v>
      </c>
      <c r="AZ200" s="369" t="str">
        <f t="shared" si="24"/>
        <v>MartiniqueNoyerBananier</v>
      </c>
    </row>
    <row r="201" spans="49:52" x14ac:dyDescent="0.25">
      <c r="AW201" s="369" t="s">
        <v>296</v>
      </c>
      <c r="AX201" s="369" t="s">
        <v>166</v>
      </c>
      <c r="AY201" s="369" t="s">
        <v>179</v>
      </c>
      <c r="AZ201" s="369" t="str">
        <f t="shared" si="24"/>
        <v>MartiniquePêcherBananier</v>
      </c>
    </row>
    <row r="202" spans="49:52" x14ac:dyDescent="0.25">
      <c r="AW202" s="369" t="s">
        <v>296</v>
      </c>
      <c r="AX202" s="369" t="s">
        <v>167</v>
      </c>
      <c r="AY202" s="369" t="s">
        <v>179</v>
      </c>
      <c r="AZ202" s="369" t="str">
        <f t="shared" si="24"/>
        <v>MartiniquePoirierBananier</v>
      </c>
    </row>
    <row r="203" spans="49:52" x14ac:dyDescent="0.25">
      <c r="AW203" s="369" t="s">
        <v>296</v>
      </c>
      <c r="AX203" s="369" t="s">
        <v>169</v>
      </c>
      <c r="AY203" s="369" t="s">
        <v>179</v>
      </c>
      <c r="AZ203" s="369" t="str">
        <f t="shared" si="24"/>
        <v>MartiniquePommierBananier</v>
      </c>
    </row>
    <row r="204" spans="49:52" x14ac:dyDescent="0.25">
      <c r="AW204" s="369" t="s">
        <v>296</v>
      </c>
      <c r="AX204" s="369" t="s">
        <v>170</v>
      </c>
      <c r="AY204" s="369" t="s">
        <v>179</v>
      </c>
      <c r="AZ204" s="369" t="str">
        <f t="shared" si="24"/>
        <v>MartiniquePrunierBananier</v>
      </c>
    </row>
    <row r="205" spans="49:52" x14ac:dyDescent="0.25">
      <c r="AW205" s="369" t="s">
        <v>26</v>
      </c>
      <c r="AX205" s="369" t="s">
        <v>135</v>
      </c>
      <c r="AY205" s="369" t="s">
        <v>135</v>
      </c>
      <c r="AZ205" s="369" t="str">
        <f t="shared" si="24"/>
        <v>Midi-PyrénéesAbricotierAbricotier</v>
      </c>
    </row>
    <row r="206" spans="49:52" x14ac:dyDescent="0.25">
      <c r="AW206" s="369" t="s">
        <v>26</v>
      </c>
      <c r="AX206" s="369" t="s">
        <v>646</v>
      </c>
      <c r="AY206" s="369" t="s">
        <v>143</v>
      </c>
      <c r="AZ206" s="369" t="str">
        <f t="shared" si="24"/>
        <v>Midi-PyrénéesAgrumesClémentinier</v>
      </c>
    </row>
    <row r="207" spans="49:52" x14ac:dyDescent="0.25">
      <c r="AW207" s="369" t="s">
        <v>26</v>
      </c>
      <c r="AX207" s="369" t="s">
        <v>178</v>
      </c>
      <c r="AY207" s="369" t="s">
        <v>170</v>
      </c>
      <c r="AZ207" s="369" t="str">
        <f t="shared" si="24"/>
        <v>Midi-PyrénéesAutresPrunier</v>
      </c>
    </row>
    <row r="208" spans="49:52" x14ac:dyDescent="0.25">
      <c r="AW208" s="369" t="s">
        <v>26</v>
      </c>
      <c r="AX208" s="369" t="s">
        <v>140</v>
      </c>
      <c r="AY208" s="369" t="s">
        <v>140</v>
      </c>
      <c r="AZ208" s="369" t="str">
        <f t="shared" si="24"/>
        <v>Midi-PyrénéesCerisierCerisier</v>
      </c>
    </row>
    <row r="209" spans="49:52" x14ac:dyDescent="0.25">
      <c r="AW209" s="369" t="s">
        <v>26</v>
      </c>
      <c r="AX209" s="369" t="s">
        <v>153</v>
      </c>
      <c r="AY209" s="369" t="s">
        <v>153</v>
      </c>
      <c r="AZ209" s="369" t="str">
        <f t="shared" si="24"/>
        <v>Midi-PyrénéesMirabellierMirabellier</v>
      </c>
    </row>
    <row r="210" spans="49:52" x14ac:dyDescent="0.25">
      <c r="AW210" s="369" t="s">
        <v>26</v>
      </c>
      <c r="AX210" s="369" t="s">
        <v>159</v>
      </c>
      <c r="AY210" s="369" t="s">
        <v>647</v>
      </c>
      <c r="AZ210" s="369" t="str">
        <f t="shared" si="24"/>
        <v>Midi-PyrénéesNectarinierNectarinier-Pêcher</v>
      </c>
    </row>
    <row r="211" spans="49:52" x14ac:dyDescent="0.25">
      <c r="AW211" s="369" t="s">
        <v>26</v>
      </c>
      <c r="AX211" s="369" t="s">
        <v>162</v>
      </c>
      <c r="AY211" s="369" t="s">
        <v>162</v>
      </c>
      <c r="AZ211" s="369" t="str">
        <f t="shared" si="24"/>
        <v>Midi-PyrénéesNoyerNoyer</v>
      </c>
    </row>
    <row r="212" spans="49:52" x14ac:dyDescent="0.25">
      <c r="AW212" s="369" t="s">
        <v>26</v>
      </c>
      <c r="AX212" s="369" t="s">
        <v>166</v>
      </c>
      <c r="AY212" s="369" t="s">
        <v>647</v>
      </c>
      <c r="AZ212" s="369" t="str">
        <f t="shared" si="24"/>
        <v>Midi-PyrénéesPêcherNectarinier-Pêcher</v>
      </c>
    </row>
    <row r="213" spans="49:52" x14ac:dyDescent="0.25">
      <c r="AW213" s="369" t="s">
        <v>26</v>
      </c>
      <c r="AX213" s="369" t="s">
        <v>167</v>
      </c>
      <c r="AY213" s="369" t="s">
        <v>167</v>
      </c>
      <c r="AZ213" s="369" t="str">
        <f t="shared" si="24"/>
        <v>Midi-PyrénéesPoirierPoirier</v>
      </c>
    </row>
    <row r="214" spans="49:52" x14ac:dyDescent="0.25">
      <c r="AW214" s="369" t="s">
        <v>26</v>
      </c>
      <c r="AX214" s="369" t="s">
        <v>169</v>
      </c>
      <c r="AY214" s="369" t="s">
        <v>169</v>
      </c>
      <c r="AZ214" s="369" t="str">
        <f t="shared" si="24"/>
        <v>Midi-PyrénéesPommierPommier</v>
      </c>
    </row>
    <row r="215" spans="49:52" x14ac:dyDescent="0.25">
      <c r="AW215" s="369" t="s">
        <v>26</v>
      </c>
      <c r="AX215" s="369" t="s">
        <v>170</v>
      </c>
      <c r="AY215" s="369" t="s">
        <v>170</v>
      </c>
      <c r="AZ215" s="369" t="str">
        <f t="shared" si="24"/>
        <v>Midi-PyrénéesPrunierPrunier</v>
      </c>
    </row>
    <row r="216" spans="49:52" x14ac:dyDescent="0.25">
      <c r="AW216" s="369" t="s">
        <v>27</v>
      </c>
      <c r="AX216" s="369" t="s">
        <v>135</v>
      </c>
      <c r="AY216" s="369" t="s">
        <v>135</v>
      </c>
      <c r="AZ216" s="369" t="str">
        <f t="shared" si="24"/>
        <v>Nord-Pas-de-CalaisAbricotierAbricotier</v>
      </c>
    </row>
    <row r="217" spans="49:52" x14ac:dyDescent="0.25">
      <c r="AW217" s="369" t="s">
        <v>27</v>
      </c>
      <c r="AX217" s="369" t="s">
        <v>646</v>
      </c>
      <c r="AY217" s="369" t="s">
        <v>143</v>
      </c>
      <c r="AZ217" s="369" t="str">
        <f t="shared" si="24"/>
        <v>Nord-Pas-de-CalaisAgrumesClémentinier</v>
      </c>
    </row>
    <row r="218" spans="49:52" x14ac:dyDescent="0.25">
      <c r="AW218" s="369" t="s">
        <v>27</v>
      </c>
      <c r="AX218" s="369" t="s">
        <v>178</v>
      </c>
      <c r="AY218" s="369" t="s">
        <v>170</v>
      </c>
      <c r="AZ218" s="369" t="str">
        <f t="shared" si="24"/>
        <v>Nord-Pas-de-CalaisAutresPrunier</v>
      </c>
    </row>
    <row r="219" spans="49:52" x14ac:dyDescent="0.25">
      <c r="AW219" s="369" t="s">
        <v>27</v>
      </c>
      <c r="AX219" s="369" t="s">
        <v>140</v>
      </c>
      <c r="AY219" s="369" t="s">
        <v>140</v>
      </c>
      <c r="AZ219" s="369" t="str">
        <f t="shared" si="24"/>
        <v>Nord-Pas-de-CalaisCerisierCerisier</v>
      </c>
    </row>
    <row r="220" spans="49:52" x14ac:dyDescent="0.25">
      <c r="AW220" s="369" t="s">
        <v>27</v>
      </c>
      <c r="AX220" s="369" t="s">
        <v>153</v>
      </c>
      <c r="AY220" s="369" t="s">
        <v>153</v>
      </c>
      <c r="AZ220" s="369" t="str">
        <f t="shared" si="24"/>
        <v>Nord-Pas-de-CalaisMirabellierMirabellier</v>
      </c>
    </row>
    <row r="221" spans="49:52" x14ac:dyDescent="0.25">
      <c r="AW221" s="369" t="s">
        <v>27</v>
      </c>
      <c r="AX221" s="369" t="s">
        <v>159</v>
      </c>
      <c r="AY221" s="369" t="s">
        <v>647</v>
      </c>
      <c r="AZ221" s="369" t="str">
        <f t="shared" si="24"/>
        <v>Nord-Pas-de-CalaisNectarinierNectarinier-Pêcher</v>
      </c>
    </row>
    <row r="222" spans="49:52" x14ac:dyDescent="0.25">
      <c r="AW222" s="369" t="s">
        <v>27</v>
      </c>
      <c r="AX222" s="369" t="s">
        <v>162</v>
      </c>
      <c r="AY222" s="369" t="s">
        <v>162</v>
      </c>
      <c r="AZ222" s="369" t="str">
        <f t="shared" si="24"/>
        <v>Nord-Pas-de-CalaisNoyerNoyer</v>
      </c>
    </row>
    <row r="223" spans="49:52" x14ac:dyDescent="0.25">
      <c r="AW223" s="369" t="s">
        <v>27</v>
      </c>
      <c r="AX223" s="369" t="s">
        <v>166</v>
      </c>
      <c r="AY223" s="369" t="s">
        <v>647</v>
      </c>
      <c r="AZ223" s="369" t="str">
        <f t="shared" si="24"/>
        <v>Nord-Pas-de-CalaisPêcherNectarinier-Pêcher</v>
      </c>
    </row>
    <row r="224" spans="49:52" x14ac:dyDescent="0.25">
      <c r="AW224" s="369" t="s">
        <v>27</v>
      </c>
      <c r="AX224" s="369" t="s">
        <v>167</v>
      </c>
      <c r="AY224" s="369" t="s">
        <v>167</v>
      </c>
      <c r="AZ224" s="369" t="str">
        <f t="shared" si="24"/>
        <v>Nord-Pas-de-CalaisPoirierPoirier</v>
      </c>
    </row>
    <row r="225" spans="49:52" x14ac:dyDescent="0.25">
      <c r="AW225" s="369" t="s">
        <v>27</v>
      </c>
      <c r="AX225" s="369" t="s">
        <v>169</v>
      </c>
      <c r="AY225" s="369" t="s">
        <v>169</v>
      </c>
      <c r="AZ225" s="369" t="str">
        <f t="shared" si="24"/>
        <v>Nord-Pas-de-CalaisPommierPommier</v>
      </c>
    </row>
    <row r="226" spans="49:52" x14ac:dyDescent="0.25">
      <c r="AW226" s="369" t="s">
        <v>27</v>
      </c>
      <c r="AX226" s="369" t="s">
        <v>170</v>
      </c>
      <c r="AY226" s="369" t="s">
        <v>170</v>
      </c>
      <c r="AZ226" s="369" t="str">
        <f t="shared" si="24"/>
        <v>Nord-Pas-de-CalaisPrunierPrunier</v>
      </c>
    </row>
    <row r="227" spans="49:52" x14ac:dyDescent="0.25">
      <c r="AW227" s="369" t="s">
        <v>28</v>
      </c>
      <c r="AX227" s="369" t="s">
        <v>135</v>
      </c>
      <c r="AY227" s="369" t="s">
        <v>135</v>
      </c>
      <c r="AZ227" s="369" t="str">
        <f t="shared" si="24"/>
        <v>Pays de la LoireAbricotierAbricotier</v>
      </c>
    </row>
    <row r="228" spans="49:52" x14ac:dyDescent="0.25">
      <c r="AW228" s="369" t="s">
        <v>28</v>
      </c>
      <c r="AX228" s="369" t="s">
        <v>646</v>
      </c>
      <c r="AY228" s="369" t="s">
        <v>143</v>
      </c>
      <c r="AZ228" s="369" t="str">
        <f t="shared" si="24"/>
        <v>Pays de la LoireAgrumesClémentinier</v>
      </c>
    </row>
    <row r="229" spans="49:52" x14ac:dyDescent="0.25">
      <c r="AW229" s="369" t="s">
        <v>28</v>
      </c>
      <c r="AX229" s="369" t="s">
        <v>178</v>
      </c>
      <c r="AY229" s="369" t="s">
        <v>170</v>
      </c>
      <c r="AZ229" s="369" t="str">
        <f t="shared" si="24"/>
        <v>Pays de la LoireAutresPrunier</v>
      </c>
    </row>
    <row r="230" spans="49:52" x14ac:dyDescent="0.25">
      <c r="AW230" s="369" t="s">
        <v>28</v>
      </c>
      <c r="AX230" s="369" t="s">
        <v>140</v>
      </c>
      <c r="AY230" s="369" t="s">
        <v>140</v>
      </c>
      <c r="AZ230" s="369" t="str">
        <f t="shared" si="24"/>
        <v>Pays de la LoireCerisierCerisier</v>
      </c>
    </row>
    <row r="231" spans="49:52" x14ac:dyDescent="0.25">
      <c r="AW231" s="369" t="s">
        <v>28</v>
      </c>
      <c r="AX231" s="369" t="s">
        <v>153</v>
      </c>
      <c r="AY231" s="369" t="s">
        <v>153</v>
      </c>
      <c r="AZ231" s="369" t="str">
        <f t="shared" si="24"/>
        <v>Pays de la LoireMirabellierMirabellier</v>
      </c>
    </row>
    <row r="232" spans="49:52" x14ac:dyDescent="0.25">
      <c r="AW232" s="369" t="s">
        <v>28</v>
      </c>
      <c r="AX232" s="369" t="s">
        <v>159</v>
      </c>
      <c r="AY232" s="369" t="s">
        <v>647</v>
      </c>
      <c r="AZ232" s="369" t="str">
        <f t="shared" si="24"/>
        <v>Pays de la LoireNectarinierNectarinier-Pêcher</v>
      </c>
    </row>
    <row r="233" spans="49:52" x14ac:dyDescent="0.25">
      <c r="AW233" s="369" t="s">
        <v>28</v>
      </c>
      <c r="AX233" s="369" t="s">
        <v>162</v>
      </c>
      <c r="AY233" s="369" t="s">
        <v>162</v>
      </c>
      <c r="AZ233" s="369" t="str">
        <f t="shared" si="24"/>
        <v>Pays de la LoireNoyerNoyer</v>
      </c>
    </row>
    <row r="234" spans="49:52" x14ac:dyDescent="0.25">
      <c r="AW234" s="369" t="s">
        <v>28</v>
      </c>
      <c r="AX234" s="369" t="s">
        <v>166</v>
      </c>
      <c r="AY234" s="369" t="s">
        <v>647</v>
      </c>
      <c r="AZ234" s="369" t="str">
        <f t="shared" si="24"/>
        <v>Pays de la LoirePêcherNectarinier-Pêcher</v>
      </c>
    </row>
    <row r="235" spans="49:52" x14ac:dyDescent="0.25">
      <c r="AW235" s="369" t="s">
        <v>28</v>
      </c>
      <c r="AX235" s="369" t="s">
        <v>167</v>
      </c>
      <c r="AY235" s="369" t="s">
        <v>167</v>
      </c>
      <c r="AZ235" s="369" t="str">
        <f t="shared" si="24"/>
        <v>Pays de la LoirePoirierPoirier</v>
      </c>
    </row>
    <row r="236" spans="49:52" x14ac:dyDescent="0.25">
      <c r="AW236" s="369" t="s">
        <v>28</v>
      </c>
      <c r="AX236" s="369" t="s">
        <v>169</v>
      </c>
      <c r="AY236" s="369" t="s">
        <v>169</v>
      </c>
      <c r="AZ236" s="369" t="str">
        <f t="shared" si="24"/>
        <v>Pays de la LoirePommierPommier</v>
      </c>
    </row>
    <row r="237" spans="49:52" x14ac:dyDescent="0.25">
      <c r="AW237" s="369" t="s">
        <v>28</v>
      </c>
      <c r="AX237" s="369" t="s">
        <v>170</v>
      </c>
      <c r="AY237" s="369" t="s">
        <v>170</v>
      </c>
      <c r="AZ237" s="369" t="str">
        <f t="shared" si="24"/>
        <v>Pays de la LoirePrunierPrunier</v>
      </c>
    </row>
    <row r="238" spans="49:52" x14ac:dyDescent="0.25">
      <c r="AW238" s="369" t="s">
        <v>29</v>
      </c>
      <c r="AX238" s="369" t="s">
        <v>135</v>
      </c>
      <c r="AY238" s="369" t="s">
        <v>135</v>
      </c>
      <c r="AZ238" s="369" t="str">
        <f t="shared" si="24"/>
        <v>PicardieAbricotierAbricotier</v>
      </c>
    </row>
    <row r="239" spans="49:52" x14ac:dyDescent="0.25">
      <c r="AW239" s="369" t="s">
        <v>29</v>
      </c>
      <c r="AX239" s="369" t="s">
        <v>646</v>
      </c>
      <c r="AY239" s="369" t="s">
        <v>143</v>
      </c>
      <c r="AZ239" s="369" t="str">
        <f t="shared" si="24"/>
        <v>PicardieAgrumesClémentinier</v>
      </c>
    </row>
    <row r="240" spans="49:52" x14ac:dyDescent="0.25">
      <c r="AW240" s="369" t="s">
        <v>29</v>
      </c>
      <c r="AX240" s="369" t="s">
        <v>178</v>
      </c>
      <c r="AY240" s="369" t="s">
        <v>170</v>
      </c>
      <c r="AZ240" s="369" t="str">
        <f t="shared" si="24"/>
        <v>PicardieAutresPrunier</v>
      </c>
    </row>
    <row r="241" spans="49:52" x14ac:dyDescent="0.25">
      <c r="AW241" s="369" t="s">
        <v>29</v>
      </c>
      <c r="AX241" s="369" t="s">
        <v>140</v>
      </c>
      <c r="AY241" s="369" t="s">
        <v>140</v>
      </c>
      <c r="AZ241" s="369" t="str">
        <f t="shared" si="24"/>
        <v>PicardieCerisierCerisier</v>
      </c>
    </row>
    <row r="242" spans="49:52" x14ac:dyDescent="0.25">
      <c r="AW242" s="369" t="s">
        <v>29</v>
      </c>
      <c r="AX242" s="369" t="s">
        <v>153</v>
      </c>
      <c r="AY242" s="369" t="s">
        <v>153</v>
      </c>
      <c r="AZ242" s="369" t="str">
        <f t="shared" si="24"/>
        <v>PicardieMirabellierMirabellier</v>
      </c>
    </row>
    <row r="243" spans="49:52" x14ac:dyDescent="0.25">
      <c r="AW243" s="369" t="s">
        <v>29</v>
      </c>
      <c r="AX243" s="369" t="s">
        <v>159</v>
      </c>
      <c r="AY243" s="369" t="s">
        <v>647</v>
      </c>
      <c r="AZ243" s="369" t="str">
        <f t="shared" si="24"/>
        <v>PicardieNectarinierNectarinier-Pêcher</v>
      </c>
    </row>
    <row r="244" spans="49:52" x14ac:dyDescent="0.25">
      <c r="AW244" s="369" t="s">
        <v>29</v>
      </c>
      <c r="AX244" s="369" t="s">
        <v>162</v>
      </c>
      <c r="AY244" s="369" t="s">
        <v>162</v>
      </c>
      <c r="AZ244" s="369" t="str">
        <f t="shared" si="24"/>
        <v>PicardieNoyerNoyer</v>
      </c>
    </row>
    <row r="245" spans="49:52" x14ac:dyDescent="0.25">
      <c r="AW245" s="369" t="s">
        <v>29</v>
      </c>
      <c r="AX245" s="369" t="s">
        <v>166</v>
      </c>
      <c r="AY245" s="369" t="s">
        <v>647</v>
      </c>
      <c r="AZ245" s="369" t="str">
        <f t="shared" si="24"/>
        <v>PicardiePêcherNectarinier-Pêcher</v>
      </c>
    </row>
    <row r="246" spans="49:52" x14ac:dyDescent="0.25">
      <c r="AW246" s="369" t="s">
        <v>29</v>
      </c>
      <c r="AX246" s="369" t="s">
        <v>167</v>
      </c>
      <c r="AY246" s="369" t="s">
        <v>167</v>
      </c>
      <c r="AZ246" s="369" t="str">
        <f t="shared" si="24"/>
        <v>PicardiePoirierPoirier</v>
      </c>
    </row>
    <row r="247" spans="49:52" x14ac:dyDescent="0.25">
      <c r="AW247" s="369" t="s">
        <v>29</v>
      </c>
      <c r="AX247" s="369" t="s">
        <v>169</v>
      </c>
      <c r="AY247" s="369" t="s">
        <v>169</v>
      </c>
      <c r="AZ247" s="369" t="str">
        <f t="shared" si="24"/>
        <v>PicardiePommierPommier</v>
      </c>
    </row>
    <row r="248" spans="49:52" x14ac:dyDescent="0.25">
      <c r="AW248" s="369" t="s">
        <v>29</v>
      </c>
      <c r="AX248" s="369" t="s">
        <v>170</v>
      </c>
      <c r="AY248" s="369" t="s">
        <v>170</v>
      </c>
      <c r="AZ248" s="369" t="str">
        <f t="shared" si="24"/>
        <v>PicardiePrunierPrunier</v>
      </c>
    </row>
    <row r="249" spans="49:52" x14ac:dyDescent="0.25">
      <c r="AW249" s="369" t="s">
        <v>30</v>
      </c>
      <c r="AX249" s="369" t="s">
        <v>135</v>
      </c>
      <c r="AY249" s="369" t="s">
        <v>135</v>
      </c>
      <c r="AZ249" s="369" t="str">
        <f t="shared" si="24"/>
        <v>Poitou-CharentesAbricotierAbricotier</v>
      </c>
    </row>
    <row r="250" spans="49:52" x14ac:dyDescent="0.25">
      <c r="AW250" s="369" t="s">
        <v>30</v>
      </c>
      <c r="AX250" s="369" t="s">
        <v>646</v>
      </c>
      <c r="AY250" s="369" t="s">
        <v>143</v>
      </c>
      <c r="AZ250" s="369" t="str">
        <f t="shared" si="24"/>
        <v>Poitou-CharentesAgrumesClémentinier</v>
      </c>
    </row>
    <row r="251" spans="49:52" x14ac:dyDescent="0.25">
      <c r="AW251" s="369" t="s">
        <v>30</v>
      </c>
      <c r="AX251" s="369" t="s">
        <v>178</v>
      </c>
      <c r="AY251" s="369" t="s">
        <v>170</v>
      </c>
      <c r="AZ251" s="369" t="str">
        <f t="shared" si="24"/>
        <v>Poitou-CharentesAutresPrunier</v>
      </c>
    </row>
    <row r="252" spans="49:52" x14ac:dyDescent="0.25">
      <c r="AW252" s="369" t="s">
        <v>30</v>
      </c>
      <c r="AX252" s="369" t="s">
        <v>140</v>
      </c>
      <c r="AY252" s="369" t="s">
        <v>140</v>
      </c>
      <c r="AZ252" s="369" t="str">
        <f t="shared" si="24"/>
        <v>Poitou-CharentesCerisierCerisier</v>
      </c>
    </row>
    <row r="253" spans="49:52" x14ac:dyDescent="0.25">
      <c r="AW253" s="369" t="s">
        <v>30</v>
      </c>
      <c r="AX253" s="369" t="s">
        <v>153</v>
      </c>
      <c r="AY253" s="369" t="s">
        <v>153</v>
      </c>
      <c r="AZ253" s="369" t="str">
        <f t="shared" si="24"/>
        <v>Poitou-CharentesMirabellierMirabellier</v>
      </c>
    </row>
    <row r="254" spans="49:52" x14ac:dyDescent="0.25">
      <c r="AW254" s="369" t="s">
        <v>30</v>
      </c>
      <c r="AX254" s="369" t="s">
        <v>159</v>
      </c>
      <c r="AY254" s="369" t="s">
        <v>647</v>
      </c>
      <c r="AZ254" s="369" t="str">
        <f t="shared" si="24"/>
        <v>Poitou-CharentesNectarinierNectarinier-Pêcher</v>
      </c>
    </row>
    <row r="255" spans="49:52" x14ac:dyDescent="0.25">
      <c r="AW255" s="369" t="s">
        <v>30</v>
      </c>
      <c r="AX255" s="369" t="s">
        <v>162</v>
      </c>
      <c r="AY255" s="369" t="s">
        <v>162</v>
      </c>
      <c r="AZ255" s="369" t="str">
        <f t="shared" si="24"/>
        <v>Poitou-CharentesNoyerNoyer</v>
      </c>
    </row>
    <row r="256" spans="49:52" x14ac:dyDescent="0.25">
      <c r="AW256" s="369" t="s">
        <v>30</v>
      </c>
      <c r="AX256" s="369" t="s">
        <v>166</v>
      </c>
      <c r="AY256" s="369" t="s">
        <v>647</v>
      </c>
      <c r="AZ256" s="369" t="str">
        <f t="shared" si="24"/>
        <v>Poitou-CharentesPêcherNectarinier-Pêcher</v>
      </c>
    </row>
    <row r="257" spans="49:52" x14ac:dyDescent="0.25">
      <c r="AW257" s="369" t="s">
        <v>30</v>
      </c>
      <c r="AX257" s="369" t="s">
        <v>167</v>
      </c>
      <c r="AY257" s="369" t="s">
        <v>167</v>
      </c>
      <c r="AZ257" s="369" t="str">
        <f t="shared" si="24"/>
        <v>Poitou-CharentesPoirierPoirier</v>
      </c>
    </row>
    <row r="258" spans="49:52" x14ac:dyDescent="0.25">
      <c r="AW258" s="369" t="s">
        <v>30</v>
      </c>
      <c r="AX258" s="369" t="s">
        <v>169</v>
      </c>
      <c r="AY258" s="369" t="s">
        <v>169</v>
      </c>
      <c r="AZ258" s="369" t="str">
        <f t="shared" si="24"/>
        <v>Poitou-CharentesPommierPommier</v>
      </c>
    </row>
    <row r="259" spans="49:52" x14ac:dyDescent="0.25">
      <c r="AW259" s="369" t="s">
        <v>30</v>
      </c>
      <c r="AX259" s="369" t="s">
        <v>170</v>
      </c>
      <c r="AY259" s="369" t="s">
        <v>170</v>
      </c>
      <c r="AZ259" s="369" t="str">
        <f t="shared" si="24"/>
        <v>Poitou-CharentesPrunierPrunier</v>
      </c>
    </row>
    <row r="260" spans="49:52" x14ac:dyDescent="0.25">
      <c r="AW260" s="369" t="s">
        <v>31</v>
      </c>
      <c r="AX260" s="369" t="s">
        <v>135</v>
      </c>
      <c r="AY260" s="369" t="s">
        <v>135</v>
      </c>
      <c r="AZ260" s="369" t="str">
        <f t="shared" si="24"/>
        <v>Provence-Alpes-Côte d'AzurAbricotierAbricotier</v>
      </c>
    </row>
    <row r="261" spans="49:52" x14ac:dyDescent="0.25">
      <c r="AW261" s="369" t="s">
        <v>31</v>
      </c>
      <c r="AX261" s="369" t="s">
        <v>646</v>
      </c>
      <c r="AY261" s="369" t="s">
        <v>143</v>
      </c>
      <c r="AZ261" s="369" t="str">
        <f t="shared" si="24"/>
        <v>Provence-Alpes-Côte d'AzurAgrumesClémentinier</v>
      </c>
    </row>
    <row r="262" spans="49:52" x14ac:dyDescent="0.25">
      <c r="AW262" s="369" t="s">
        <v>31</v>
      </c>
      <c r="AX262" s="369" t="s">
        <v>178</v>
      </c>
      <c r="AY262" s="369" t="s">
        <v>170</v>
      </c>
      <c r="AZ262" s="369" t="str">
        <f t="shared" ref="AZ262:AZ281" si="25">AW262&amp;AX262&amp;AY262</f>
        <v>Provence-Alpes-Côte d'AzurAutresPrunier</v>
      </c>
    </row>
    <row r="263" spans="49:52" x14ac:dyDescent="0.25">
      <c r="AW263" s="369" t="s">
        <v>31</v>
      </c>
      <c r="AX263" s="369" t="s">
        <v>140</v>
      </c>
      <c r="AY263" s="369" t="s">
        <v>140</v>
      </c>
      <c r="AZ263" s="369" t="str">
        <f t="shared" si="25"/>
        <v>Provence-Alpes-Côte d'AzurCerisierCerisier</v>
      </c>
    </row>
    <row r="264" spans="49:52" x14ac:dyDescent="0.25">
      <c r="AW264" s="369" t="s">
        <v>31</v>
      </c>
      <c r="AX264" s="369" t="s">
        <v>153</v>
      </c>
      <c r="AY264" s="369" t="s">
        <v>153</v>
      </c>
      <c r="AZ264" s="369" t="str">
        <f t="shared" si="25"/>
        <v>Provence-Alpes-Côte d'AzurMirabellierMirabellier</v>
      </c>
    </row>
    <row r="265" spans="49:52" x14ac:dyDescent="0.25">
      <c r="AW265" s="369" t="s">
        <v>31</v>
      </c>
      <c r="AX265" s="369" t="s">
        <v>159</v>
      </c>
      <c r="AY265" s="369" t="s">
        <v>647</v>
      </c>
      <c r="AZ265" s="369" t="str">
        <f t="shared" si="25"/>
        <v>Provence-Alpes-Côte d'AzurNectarinierNectarinier-Pêcher</v>
      </c>
    </row>
    <row r="266" spans="49:52" x14ac:dyDescent="0.25">
      <c r="AW266" s="369" t="s">
        <v>31</v>
      </c>
      <c r="AX266" s="369" t="s">
        <v>162</v>
      </c>
      <c r="AY266" s="369" t="s">
        <v>162</v>
      </c>
      <c r="AZ266" s="369" t="str">
        <f t="shared" si="25"/>
        <v>Provence-Alpes-Côte d'AzurNoyerNoyer</v>
      </c>
    </row>
    <row r="267" spans="49:52" x14ac:dyDescent="0.25">
      <c r="AW267" s="369" t="s">
        <v>31</v>
      </c>
      <c r="AX267" s="369" t="s">
        <v>166</v>
      </c>
      <c r="AY267" s="369" t="s">
        <v>647</v>
      </c>
      <c r="AZ267" s="369" t="str">
        <f t="shared" si="25"/>
        <v>Provence-Alpes-Côte d'AzurPêcherNectarinier-Pêcher</v>
      </c>
    </row>
    <row r="268" spans="49:52" x14ac:dyDescent="0.25">
      <c r="AW268" s="369" t="s">
        <v>31</v>
      </c>
      <c r="AX268" s="369" t="s">
        <v>167</v>
      </c>
      <c r="AY268" s="369" t="s">
        <v>167</v>
      </c>
      <c r="AZ268" s="369" t="str">
        <f t="shared" si="25"/>
        <v>Provence-Alpes-Côte d'AzurPoirierPoirier</v>
      </c>
    </row>
    <row r="269" spans="49:52" x14ac:dyDescent="0.25">
      <c r="AW269" s="369" t="s">
        <v>31</v>
      </c>
      <c r="AX269" s="369" t="s">
        <v>169</v>
      </c>
      <c r="AY269" s="369" t="s">
        <v>169</v>
      </c>
      <c r="AZ269" s="369" t="str">
        <f t="shared" si="25"/>
        <v>Provence-Alpes-Côte d'AzurPommierPommier</v>
      </c>
    </row>
    <row r="270" spans="49:52" x14ac:dyDescent="0.25">
      <c r="AW270" s="369" t="s">
        <v>31</v>
      </c>
      <c r="AX270" s="369" t="s">
        <v>170</v>
      </c>
      <c r="AY270" s="369" t="s">
        <v>170</v>
      </c>
      <c r="AZ270" s="369" t="str">
        <f t="shared" si="25"/>
        <v>Provence-Alpes-Côte d'AzurPrunierPrunier</v>
      </c>
    </row>
    <row r="271" spans="49:52" x14ac:dyDescent="0.25">
      <c r="AW271" s="369" t="s">
        <v>32</v>
      </c>
      <c r="AX271" s="369" t="s">
        <v>135</v>
      </c>
      <c r="AY271" s="369" t="s">
        <v>135</v>
      </c>
      <c r="AZ271" s="369" t="str">
        <f t="shared" si="25"/>
        <v>Rhône-AlpesAbricotierAbricotier</v>
      </c>
    </row>
    <row r="272" spans="49:52" x14ac:dyDescent="0.25">
      <c r="AW272" s="369" t="s">
        <v>32</v>
      </c>
      <c r="AX272" s="369" t="s">
        <v>646</v>
      </c>
      <c r="AY272" s="369" t="s">
        <v>143</v>
      </c>
      <c r="AZ272" s="369" t="str">
        <f t="shared" si="25"/>
        <v>Rhône-AlpesAgrumesClémentinier</v>
      </c>
    </row>
    <row r="273" spans="49:52" x14ac:dyDescent="0.25">
      <c r="AW273" s="369" t="s">
        <v>32</v>
      </c>
      <c r="AX273" s="369" t="s">
        <v>178</v>
      </c>
      <c r="AY273" s="369" t="s">
        <v>170</v>
      </c>
      <c r="AZ273" s="369" t="str">
        <f t="shared" si="25"/>
        <v>Rhône-AlpesAutresPrunier</v>
      </c>
    </row>
    <row r="274" spans="49:52" x14ac:dyDescent="0.25">
      <c r="AW274" s="369" t="s">
        <v>32</v>
      </c>
      <c r="AX274" s="369" t="s">
        <v>140</v>
      </c>
      <c r="AY274" s="369" t="s">
        <v>140</v>
      </c>
      <c r="AZ274" s="369" t="str">
        <f t="shared" si="25"/>
        <v>Rhône-AlpesCerisierCerisier</v>
      </c>
    </row>
    <row r="275" spans="49:52" x14ac:dyDescent="0.25">
      <c r="AW275" s="369" t="s">
        <v>32</v>
      </c>
      <c r="AX275" s="369" t="s">
        <v>153</v>
      </c>
      <c r="AY275" s="369" t="s">
        <v>153</v>
      </c>
      <c r="AZ275" s="369" t="str">
        <f t="shared" si="25"/>
        <v>Rhône-AlpesMirabellierMirabellier</v>
      </c>
    </row>
    <row r="276" spans="49:52" x14ac:dyDescent="0.25">
      <c r="AW276" s="369" t="s">
        <v>32</v>
      </c>
      <c r="AX276" s="369" t="s">
        <v>159</v>
      </c>
      <c r="AY276" s="369" t="s">
        <v>647</v>
      </c>
      <c r="AZ276" s="369" t="str">
        <f t="shared" si="25"/>
        <v>Rhône-AlpesNectarinierNectarinier-Pêcher</v>
      </c>
    </row>
    <row r="277" spans="49:52" x14ac:dyDescent="0.25">
      <c r="AW277" s="369" t="s">
        <v>32</v>
      </c>
      <c r="AX277" s="369" t="s">
        <v>162</v>
      </c>
      <c r="AY277" s="369" t="s">
        <v>162</v>
      </c>
      <c r="AZ277" s="369" t="str">
        <f t="shared" si="25"/>
        <v>Rhône-AlpesNoyerNoyer</v>
      </c>
    </row>
    <row r="278" spans="49:52" x14ac:dyDescent="0.25">
      <c r="AW278" s="369" t="s">
        <v>32</v>
      </c>
      <c r="AX278" s="369" t="s">
        <v>166</v>
      </c>
      <c r="AY278" s="369" t="s">
        <v>647</v>
      </c>
      <c r="AZ278" s="369" t="str">
        <f t="shared" si="25"/>
        <v>Rhône-AlpesPêcherNectarinier-Pêcher</v>
      </c>
    </row>
    <row r="279" spans="49:52" x14ac:dyDescent="0.25">
      <c r="AW279" s="369" t="s">
        <v>32</v>
      </c>
      <c r="AX279" s="369" t="s">
        <v>167</v>
      </c>
      <c r="AY279" s="369" t="s">
        <v>167</v>
      </c>
      <c r="AZ279" s="369" t="str">
        <f t="shared" si="25"/>
        <v>Rhône-AlpesPoirierPoirier</v>
      </c>
    </row>
    <row r="280" spans="49:52" x14ac:dyDescent="0.25">
      <c r="AW280" s="369" t="s">
        <v>32</v>
      </c>
      <c r="AX280" s="369" t="s">
        <v>169</v>
      </c>
      <c r="AY280" s="369" t="s">
        <v>169</v>
      </c>
      <c r="AZ280" s="369" t="str">
        <f t="shared" si="25"/>
        <v>Rhône-AlpesPommierPommier</v>
      </c>
    </row>
    <row r="281" spans="49:52" x14ac:dyDescent="0.25">
      <c r="AW281" s="369" t="s">
        <v>32</v>
      </c>
      <c r="AX281" s="369" t="s">
        <v>170</v>
      </c>
      <c r="AY281" s="369" t="s">
        <v>170</v>
      </c>
      <c r="AZ281" s="369" t="str">
        <f t="shared" si="25"/>
        <v>Rhône-AlpesPrunierPrunier</v>
      </c>
    </row>
  </sheetData>
  <sheetProtection algorithmName="SHA-512" hashValue="c5n1SRwmp1/Hxme5QD5yh6oF3q6DIrkm0hVas82HK8ISOP0GPWjk4nxunBDa80r8oxa/nH68+UbUDb3pjLtfeQ==" saltValue="OBaTXzQF0nqo2BOTF2+NpQ==" spinCount="100000" sheet="1" objects="1" scenarios="1"/>
  <autoFilter ref="BB4:BI109">
    <sortState ref="BB5:BI109">
      <sortCondition ref="BC4:BC109"/>
    </sortState>
  </autoFilter>
  <mergeCells count="20">
    <mergeCell ref="P2:S2"/>
    <mergeCell ref="Q3:R3"/>
    <mergeCell ref="S3:T3"/>
    <mergeCell ref="AH3:AI3"/>
    <mergeCell ref="X2:AA2"/>
    <mergeCell ref="AB2:AE2"/>
    <mergeCell ref="AF2:AI2"/>
    <mergeCell ref="AB3:AC3"/>
    <mergeCell ref="AD3:AE3"/>
    <mergeCell ref="AF3:AG3"/>
    <mergeCell ref="X3:Y3"/>
    <mergeCell ref="Z3:AA3"/>
    <mergeCell ref="BK4:BL4"/>
    <mergeCell ref="O4:O12"/>
    <mergeCell ref="O13:O25"/>
    <mergeCell ref="U3:W3"/>
    <mergeCell ref="AK9:AL9"/>
    <mergeCell ref="AK10:AM10"/>
    <mergeCell ref="AK11:AM11"/>
    <mergeCell ref="AK12:AM1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800000"/>
  </sheetPr>
  <dimension ref="A1:C70"/>
  <sheetViews>
    <sheetView showGridLines="0" workbookViewId="0">
      <selection activeCell="C9" sqref="C9"/>
    </sheetView>
  </sheetViews>
  <sheetFormatPr baseColWidth="10" defaultColWidth="9.140625" defaultRowHeight="15" x14ac:dyDescent="0.25"/>
  <cols>
    <col min="1" max="1" width="83.28515625" customWidth="1"/>
    <col min="2" max="2" width="9.140625" style="495"/>
    <col min="3" max="3" width="107.5703125" bestFit="1" customWidth="1"/>
  </cols>
  <sheetData>
    <row r="1" spans="1:3" x14ac:dyDescent="0.25">
      <c r="A1" s="500" t="s">
        <v>2449</v>
      </c>
    </row>
    <row r="3" spans="1:3" x14ac:dyDescent="0.25">
      <c r="A3" s="518" t="s">
        <v>2450</v>
      </c>
    </row>
    <row r="5" spans="1:3" ht="33" customHeight="1" x14ac:dyDescent="0.25">
      <c r="A5" s="1094" t="s">
        <v>2613</v>
      </c>
      <c r="B5" s="1094"/>
      <c r="C5" s="1094"/>
    </row>
    <row r="6" spans="1:3" s="499" customFormat="1" ht="15.75" thickBot="1" x14ac:dyDescent="0.3">
      <c r="A6" s="501"/>
      <c r="B6" s="509"/>
    </row>
    <row r="7" spans="1:3" x14ac:dyDescent="0.25">
      <c r="A7" s="506" t="s">
        <v>2520</v>
      </c>
      <c r="B7" s="507" t="s">
        <v>2521</v>
      </c>
      <c r="C7" s="508" t="s">
        <v>2522</v>
      </c>
    </row>
    <row r="8" spans="1:3" x14ac:dyDescent="0.25">
      <c r="A8" s="512" t="s">
        <v>2451</v>
      </c>
      <c r="B8" s="513" t="s">
        <v>2452</v>
      </c>
      <c r="C8" s="514" t="s">
        <v>2453</v>
      </c>
    </row>
    <row r="9" spans="1:3" x14ac:dyDescent="0.25">
      <c r="A9" s="502" t="s">
        <v>2451</v>
      </c>
      <c r="B9" s="510" t="s">
        <v>2454</v>
      </c>
      <c r="C9" s="503" t="s">
        <v>2455</v>
      </c>
    </row>
    <row r="10" spans="1:3" x14ac:dyDescent="0.25">
      <c r="A10" s="515" t="s">
        <v>2451</v>
      </c>
      <c r="B10" s="516" t="s">
        <v>2456</v>
      </c>
      <c r="C10" s="517" t="s">
        <v>2457</v>
      </c>
    </row>
    <row r="11" spans="1:3" x14ac:dyDescent="0.25">
      <c r="A11" s="512" t="s">
        <v>2458</v>
      </c>
      <c r="B11" s="513">
        <v>1610</v>
      </c>
      <c r="C11" s="514" t="s">
        <v>2459</v>
      </c>
    </row>
    <row r="12" spans="1:3" x14ac:dyDescent="0.25">
      <c r="A12" s="502" t="s">
        <v>2458</v>
      </c>
      <c r="B12" s="510">
        <v>1620</v>
      </c>
      <c r="C12" s="503" t="s">
        <v>2460</v>
      </c>
    </row>
    <row r="13" spans="1:3" x14ac:dyDescent="0.25">
      <c r="A13" s="502" t="s">
        <v>2458</v>
      </c>
      <c r="B13" s="510">
        <v>1630</v>
      </c>
      <c r="C13" s="503" t="s">
        <v>2461</v>
      </c>
    </row>
    <row r="14" spans="1:3" x14ac:dyDescent="0.25">
      <c r="A14" s="502" t="s">
        <v>2458</v>
      </c>
      <c r="B14" s="510">
        <v>1640</v>
      </c>
      <c r="C14" s="503" t="s">
        <v>2462</v>
      </c>
    </row>
    <row r="15" spans="1:3" x14ac:dyDescent="0.25">
      <c r="A15" s="515" t="s">
        <v>2458</v>
      </c>
      <c r="B15" s="516">
        <v>1660</v>
      </c>
      <c r="C15" s="517" t="s">
        <v>2463</v>
      </c>
    </row>
    <row r="16" spans="1:3" x14ac:dyDescent="0.25">
      <c r="A16" s="512" t="s">
        <v>2464</v>
      </c>
      <c r="B16" s="513">
        <v>2811</v>
      </c>
      <c r="C16" s="514" t="s">
        <v>2465</v>
      </c>
    </row>
    <row r="17" spans="1:3" x14ac:dyDescent="0.25">
      <c r="A17" s="502" t="s">
        <v>2464</v>
      </c>
      <c r="B17" s="510">
        <v>2821</v>
      </c>
      <c r="C17" s="503" t="s">
        <v>2466</v>
      </c>
    </row>
    <row r="18" spans="1:3" x14ac:dyDescent="0.25">
      <c r="A18" s="515" t="s">
        <v>2464</v>
      </c>
      <c r="B18" s="516">
        <v>2831</v>
      </c>
      <c r="C18" s="517" t="s">
        <v>2467</v>
      </c>
    </row>
    <row r="19" spans="1:3" x14ac:dyDescent="0.25">
      <c r="A19" s="502" t="s">
        <v>2468</v>
      </c>
      <c r="B19" s="510">
        <v>2912</v>
      </c>
      <c r="C19" s="503" t="s">
        <v>2469</v>
      </c>
    </row>
    <row r="20" spans="1:3" x14ac:dyDescent="0.25">
      <c r="A20" s="502" t="s">
        <v>2468</v>
      </c>
      <c r="B20" s="510">
        <v>2913</v>
      </c>
      <c r="C20" s="503" t="s">
        <v>2470</v>
      </c>
    </row>
    <row r="21" spans="1:3" x14ac:dyDescent="0.25">
      <c r="A21" s="502" t="s">
        <v>2468</v>
      </c>
      <c r="B21" s="510">
        <v>2922</v>
      </c>
      <c r="C21" s="503" t="s">
        <v>2471</v>
      </c>
    </row>
    <row r="22" spans="1:3" x14ac:dyDescent="0.25">
      <c r="A22" s="502" t="s">
        <v>2468</v>
      </c>
      <c r="B22" s="510">
        <v>2923</v>
      </c>
      <c r="C22" s="503" t="s">
        <v>2472</v>
      </c>
    </row>
    <row r="23" spans="1:3" x14ac:dyDescent="0.25">
      <c r="A23" s="502" t="s">
        <v>2468</v>
      </c>
      <c r="B23" s="510">
        <v>2932</v>
      </c>
      <c r="C23" s="503" t="s">
        <v>2473</v>
      </c>
    </row>
    <row r="24" spans="1:3" x14ac:dyDescent="0.25">
      <c r="A24" s="515" t="s">
        <v>2468</v>
      </c>
      <c r="B24" s="516">
        <v>2933</v>
      </c>
      <c r="C24" s="517" t="s">
        <v>2474</v>
      </c>
    </row>
    <row r="25" spans="1:3" x14ac:dyDescent="0.25">
      <c r="A25" s="502" t="s">
        <v>2475</v>
      </c>
      <c r="B25" s="510">
        <v>3511</v>
      </c>
      <c r="C25" s="503" t="s">
        <v>2476</v>
      </c>
    </row>
    <row r="26" spans="1:3" x14ac:dyDescent="0.25">
      <c r="A26" s="502" t="s">
        <v>2475</v>
      </c>
      <c r="B26" s="510">
        <v>3512</v>
      </c>
      <c r="C26" s="503" t="s">
        <v>2477</v>
      </c>
    </row>
    <row r="27" spans="1:3" x14ac:dyDescent="0.25">
      <c r="A27" s="502" t="s">
        <v>2475</v>
      </c>
      <c r="B27" s="510">
        <v>3513</v>
      </c>
      <c r="C27" s="503" t="s">
        <v>2478</v>
      </c>
    </row>
    <row r="28" spans="1:3" x14ac:dyDescent="0.25">
      <c r="A28" s="502" t="s">
        <v>2475</v>
      </c>
      <c r="B28" s="510">
        <v>3520</v>
      </c>
      <c r="C28" s="503" t="s">
        <v>2479</v>
      </c>
    </row>
    <row r="29" spans="1:3" x14ac:dyDescent="0.25">
      <c r="A29" s="502" t="s">
        <v>2475</v>
      </c>
      <c r="B29" s="510">
        <v>3530</v>
      </c>
      <c r="C29" s="503" t="s">
        <v>2480</v>
      </c>
    </row>
    <row r="30" spans="1:3" x14ac:dyDescent="0.25">
      <c r="A30" s="515" t="s">
        <v>2475</v>
      </c>
      <c r="B30" s="516">
        <v>3540</v>
      </c>
      <c r="C30" s="517" t="s">
        <v>2481</v>
      </c>
    </row>
    <row r="31" spans="1:3" x14ac:dyDescent="0.25">
      <c r="A31" s="502" t="s">
        <v>2482</v>
      </c>
      <c r="B31" s="510">
        <v>3610</v>
      </c>
      <c r="C31" s="503" t="s">
        <v>2483</v>
      </c>
    </row>
    <row r="32" spans="1:3" x14ac:dyDescent="0.25">
      <c r="A32" s="502" t="s">
        <v>2482</v>
      </c>
      <c r="B32" s="510">
        <v>3620</v>
      </c>
      <c r="C32" s="503" t="s">
        <v>2484</v>
      </c>
    </row>
    <row r="33" spans="1:3" x14ac:dyDescent="0.25">
      <c r="A33" s="502" t="s">
        <v>2482</v>
      </c>
      <c r="B33" s="510">
        <v>3630</v>
      </c>
      <c r="C33" s="503" t="s">
        <v>2485</v>
      </c>
    </row>
    <row r="34" spans="1:3" x14ac:dyDescent="0.25">
      <c r="A34" s="502" t="s">
        <v>2482</v>
      </c>
      <c r="B34" s="510">
        <v>3640</v>
      </c>
      <c r="C34" s="503" t="s">
        <v>2486</v>
      </c>
    </row>
    <row r="35" spans="1:3" x14ac:dyDescent="0.25">
      <c r="A35" s="502" t="s">
        <v>2482</v>
      </c>
      <c r="B35" s="510">
        <v>3650</v>
      </c>
      <c r="C35" s="503" t="s">
        <v>2487</v>
      </c>
    </row>
    <row r="36" spans="1:3" x14ac:dyDescent="0.25">
      <c r="A36" s="502" t="s">
        <v>2482</v>
      </c>
      <c r="B36" s="510">
        <v>3700</v>
      </c>
      <c r="C36" s="503" t="s">
        <v>2488</v>
      </c>
    </row>
    <row r="37" spans="1:3" x14ac:dyDescent="0.25">
      <c r="A37" s="515" t="s">
        <v>2482</v>
      </c>
      <c r="B37" s="516">
        <v>3800</v>
      </c>
      <c r="C37" s="517" t="s">
        <v>2489</v>
      </c>
    </row>
    <row r="38" spans="1:3" x14ac:dyDescent="0.25">
      <c r="A38" s="515" t="s">
        <v>2490</v>
      </c>
      <c r="B38" s="516">
        <v>4500</v>
      </c>
      <c r="C38" s="517" t="s">
        <v>2490</v>
      </c>
    </row>
    <row r="39" spans="1:3" x14ac:dyDescent="0.25">
      <c r="A39" s="515" t="s">
        <v>2491</v>
      </c>
      <c r="B39" s="516">
        <v>4600</v>
      </c>
      <c r="C39" s="517" t="s">
        <v>2491</v>
      </c>
    </row>
    <row r="40" spans="1:3" x14ac:dyDescent="0.25">
      <c r="A40" s="515" t="s">
        <v>2492</v>
      </c>
      <c r="B40" s="516">
        <v>4700</v>
      </c>
      <c r="C40" s="517" t="s">
        <v>2492</v>
      </c>
    </row>
    <row r="41" spans="1:3" x14ac:dyDescent="0.25">
      <c r="A41" s="502" t="s">
        <v>2493</v>
      </c>
      <c r="B41" s="510">
        <v>4810</v>
      </c>
      <c r="C41" s="503" t="s">
        <v>437</v>
      </c>
    </row>
    <row r="42" spans="1:3" x14ac:dyDescent="0.25">
      <c r="A42" s="502" t="s">
        <v>2493</v>
      </c>
      <c r="B42" s="510">
        <v>4820</v>
      </c>
      <c r="C42" s="503" t="s">
        <v>2494</v>
      </c>
    </row>
    <row r="43" spans="1:3" x14ac:dyDescent="0.25">
      <c r="A43" s="502" t="s">
        <v>2493</v>
      </c>
      <c r="B43" s="510">
        <v>4830</v>
      </c>
      <c r="C43" s="503" t="s">
        <v>439</v>
      </c>
    </row>
    <row r="44" spans="1:3" x14ac:dyDescent="0.25">
      <c r="A44" s="515" t="s">
        <v>2493</v>
      </c>
      <c r="B44" s="516">
        <v>4840</v>
      </c>
      <c r="C44" s="517" t="s">
        <v>2495</v>
      </c>
    </row>
    <row r="45" spans="1:3" x14ac:dyDescent="0.25">
      <c r="A45" s="502" t="s">
        <v>2496</v>
      </c>
      <c r="B45" s="510">
        <v>5110</v>
      </c>
      <c r="C45" s="503" t="s">
        <v>2497</v>
      </c>
    </row>
    <row r="46" spans="1:3" x14ac:dyDescent="0.25">
      <c r="A46" s="502" t="s">
        <v>2496</v>
      </c>
      <c r="B46" s="510">
        <v>5120</v>
      </c>
      <c r="C46" s="503" t="s">
        <v>2498</v>
      </c>
    </row>
    <row r="47" spans="1:3" x14ac:dyDescent="0.25">
      <c r="A47" s="502" t="s">
        <v>2496</v>
      </c>
      <c r="B47" s="510">
        <v>5130</v>
      </c>
      <c r="C47" s="503" t="s">
        <v>2499</v>
      </c>
    </row>
    <row r="48" spans="1:3" x14ac:dyDescent="0.25">
      <c r="A48" s="502" t="s">
        <v>2496</v>
      </c>
      <c r="B48" s="510">
        <v>5210</v>
      </c>
      <c r="C48" s="503" t="s">
        <v>2500</v>
      </c>
    </row>
    <row r="49" spans="1:3" x14ac:dyDescent="0.25">
      <c r="A49" s="502" t="s">
        <v>2496</v>
      </c>
      <c r="B49" s="510">
        <v>5220</v>
      </c>
      <c r="C49" s="503" t="s">
        <v>2501</v>
      </c>
    </row>
    <row r="50" spans="1:3" x14ac:dyDescent="0.25">
      <c r="A50" s="502" t="s">
        <v>2496</v>
      </c>
      <c r="B50" s="510">
        <v>5230</v>
      </c>
      <c r="C50" s="503" t="s">
        <v>2502</v>
      </c>
    </row>
    <row r="51" spans="1:3" x14ac:dyDescent="0.25">
      <c r="A51" s="502" t="s">
        <v>2496</v>
      </c>
      <c r="B51" s="510">
        <v>5300</v>
      </c>
      <c r="C51" s="503" t="s">
        <v>2503</v>
      </c>
    </row>
    <row r="52" spans="1:3" x14ac:dyDescent="0.25">
      <c r="A52" s="502" t="s">
        <v>2496</v>
      </c>
      <c r="B52" s="510">
        <v>7410</v>
      </c>
      <c r="C52" s="503" t="s">
        <v>2504</v>
      </c>
    </row>
    <row r="53" spans="1:3" x14ac:dyDescent="0.25">
      <c r="A53" s="515" t="s">
        <v>2496</v>
      </c>
      <c r="B53" s="516">
        <v>7420</v>
      </c>
      <c r="C53" s="517" t="s">
        <v>2505</v>
      </c>
    </row>
    <row r="54" spans="1:3" x14ac:dyDescent="0.25">
      <c r="A54" s="502" t="s">
        <v>2506</v>
      </c>
      <c r="B54" s="510">
        <v>6110</v>
      </c>
      <c r="C54" s="503" t="s">
        <v>2507</v>
      </c>
    </row>
    <row r="55" spans="1:3" x14ac:dyDescent="0.25">
      <c r="A55" s="502" t="s">
        <v>2506</v>
      </c>
      <c r="B55" s="510">
        <v>6120</v>
      </c>
      <c r="C55" s="503" t="s">
        <v>2508</v>
      </c>
    </row>
    <row r="56" spans="1:3" x14ac:dyDescent="0.25">
      <c r="A56" s="502" t="s">
        <v>2506</v>
      </c>
      <c r="B56" s="510">
        <v>6130</v>
      </c>
      <c r="C56" s="503" t="s">
        <v>2509</v>
      </c>
    </row>
    <row r="57" spans="1:3" x14ac:dyDescent="0.25">
      <c r="A57" s="502" t="s">
        <v>2506</v>
      </c>
      <c r="B57" s="510">
        <v>6140</v>
      </c>
      <c r="C57" s="503" t="s">
        <v>2510</v>
      </c>
    </row>
    <row r="58" spans="1:3" x14ac:dyDescent="0.25">
      <c r="A58" s="502" t="s">
        <v>2506</v>
      </c>
      <c r="B58" s="510">
        <v>6150</v>
      </c>
      <c r="C58" s="503" t="s">
        <v>2511</v>
      </c>
    </row>
    <row r="59" spans="1:3" x14ac:dyDescent="0.25">
      <c r="A59" s="502" t="s">
        <v>2506</v>
      </c>
      <c r="B59" s="510">
        <v>6160</v>
      </c>
      <c r="C59" s="503" t="s">
        <v>2512</v>
      </c>
    </row>
    <row r="60" spans="1:3" x14ac:dyDescent="0.25">
      <c r="A60" s="502" t="s">
        <v>2506</v>
      </c>
      <c r="B60" s="510">
        <v>7310</v>
      </c>
      <c r="C60" s="503" t="s">
        <v>2513</v>
      </c>
    </row>
    <row r="61" spans="1:3" x14ac:dyDescent="0.25">
      <c r="A61" s="502" t="s">
        <v>2506</v>
      </c>
      <c r="B61" s="510">
        <v>7320</v>
      </c>
      <c r="C61" s="503" t="s">
        <v>2514</v>
      </c>
    </row>
    <row r="62" spans="1:3" x14ac:dyDescent="0.25">
      <c r="A62" s="502" t="s">
        <v>2506</v>
      </c>
      <c r="B62" s="510">
        <v>8310</v>
      </c>
      <c r="C62" s="503" t="s">
        <v>2515</v>
      </c>
    </row>
    <row r="63" spans="1:3" x14ac:dyDescent="0.25">
      <c r="A63" s="502" t="s">
        <v>2506</v>
      </c>
      <c r="B63" s="510">
        <v>8320</v>
      </c>
      <c r="C63" s="503" t="s">
        <v>441</v>
      </c>
    </row>
    <row r="64" spans="1:3" x14ac:dyDescent="0.25">
      <c r="A64" s="502" t="s">
        <v>2506</v>
      </c>
      <c r="B64" s="510">
        <v>8330</v>
      </c>
      <c r="C64" s="503" t="s">
        <v>442</v>
      </c>
    </row>
    <row r="65" spans="1:3" x14ac:dyDescent="0.25">
      <c r="A65" s="502" t="s">
        <v>2506</v>
      </c>
      <c r="B65" s="510">
        <v>8340</v>
      </c>
      <c r="C65" s="503" t="s">
        <v>443</v>
      </c>
    </row>
    <row r="66" spans="1:3" x14ac:dyDescent="0.25">
      <c r="A66" s="502" t="s">
        <v>2506</v>
      </c>
      <c r="B66" s="510">
        <v>8410</v>
      </c>
      <c r="C66" s="503" t="s">
        <v>2516</v>
      </c>
    </row>
    <row r="67" spans="1:3" x14ac:dyDescent="0.25">
      <c r="A67" s="502" t="s">
        <v>2506</v>
      </c>
      <c r="B67" s="510">
        <v>8420</v>
      </c>
      <c r="C67" s="503" t="s">
        <v>444</v>
      </c>
    </row>
    <row r="68" spans="1:3" x14ac:dyDescent="0.25">
      <c r="A68" s="502" t="s">
        <v>2506</v>
      </c>
      <c r="B68" s="510">
        <v>8430</v>
      </c>
      <c r="C68" s="503" t="s">
        <v>2517</v>
      </c>
    </row>
    <row r="69" spans="1:3" x14ac:dyDescent="0.25">
      <c r="A69" s="515" t="s">
        <v>2506</v>
      </c>
      <c r="B69" s="516">
        <v>8440</v>
      </c>
      <c r="C69" s="517" t="s">
        <v>2518</v>
      </c>
    </row>
    <row r="70" spans="1:3" ht="15.75" thickBot="1" x14ac:dyDescent="0.3">
      <c r="A70" s="504" t="s">
        <v>2519</v>
      </c>
      <c r="B70" s="511">
        <v>9000</v>
      </c>
      <c r="C70" s="505" t="s">
        <v>2519</v>
      </c>
    </row>
  </sheetData>
  <sheetProtection algorithmName="SHA-512" hashValue="8jruiw6dHSHvWJeZVm4+jK9WZb4x9hF4ixSLj+zOdv7N3ZcRpg3QGlEmnKA5Ad60GhU3LMKR/KNYEGcGF0dJKA==" saltValue="hX24wTIPRTnoKKx3ff9U7w==" spinCount="100000" sheet="1" objects="1" scenarios="1"/>
  <mergeCells count="1">
    <mergeCell ref="A5:C5"/>
  </mergeCells>
  <hyperlinks>
    <hyperlink ref="A3" r:id="rId1"/>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X35"/>
  <sheetViews>
    <sheetView zoomScaleNormal="100" workbookViewId="0">
      <selection activeCell="J23" sqref="J23"/>
    </sheetView>
  </sheetViews>
  <sheetFormatPr baseColWidth="10" defaultColWidth="9.140625" defaultRowHeight="15" x14ac:dyDescent="0.25"/>
  <cols>
    <col min="2" max="2" width="26.42578125" bestFit="1" customWidth="1"/>
    <col min="3" max="6" width="12" customWidth="1"/>
    <col min="8" max="8" width="26.42578125" bestFit="1" customWidth="1"/>
    <col min="9" max="12" width="12" customWidth="1"/>
    <col min="14" max="14" width="26.42578125" bestFit="1" customWidth="1"/>
    <col min="15" max="18" width="12" customWidth="1"/>
    <col min="20" max="20" width="26.42578125" bestFit="1" customWidth="1"/>
    <col min="21" max="24" width="12" customWidth="1"/>
  </cols>
  <sheetData>
    <row r="1" spans="2:24" ht="15.75" thickBot="1" x14ac:dyDescent="0.3"/>
    <row r="2" spans="2:24" ht="20.25" thickTop="1" thickBot="1" x14ac:dyDescent="0.35">
      <c r="B2" s="1101" t="s">
        <v>2607</v>
      </c>
      <c r="C2" s="1102"/>
      <c r="D2" s="1102"/>
      <c r="E2" s="1102"/>
      <c r="F2" s="1102"/>
      <c r="G2" s="1102"/>
      <c r="H2" s="1102"/>
      <c r="I2" s="1102"/>
      <c r="J2" s="1102"/>
      <c r="K2" s="1102"/>
      <c r="L2" s="1103"/>
      <c r="N2" s="1104" t="s">
        <v>2608</v>
      </c>
      <c r="O2" s="1105"/>
      <c r="P2" s="1105"/>
      <c r="Q2" s="1105"/>
      <c r="R2" s="1105"/>
      <c r="S2" s="1105"/>
      <c r="T2" s="1105"/>
      <c r="U2" s="1105"/>
      <c r="V2" s="1105"/>
      <c r="W2" s="1105"/>
      <c r="X2" s="1106"/>
    </row>
    <row r="3" spans="2:24" x14ac:dyDescent="0.25">
      <c r="B3" s="1095" t="s">
        <v>642</v>
      </c>
      <c r="C3" s="1096"/>
      <c r="D3" s="1096"/>
      <c r="E3" s="1096"/>
      <c r="F3" s="1097"/>
      <c r="G3" s="6"/>
      <c r="H3" s="1098" t="s">
        <v>643</v>
      </c>
      <c r="I3" s="1099"/>
      <c r="J3" s="1099"/>
      <c r="K3" s="1099"/>
      <c r="L3" s="1100"/>
      <c r="N3" s="1107" t="s">
        <v>642</v>
      </c>
      <c r="O3" s="1108"/>
      <c r="P3" s="1108"/>
      <c r="Q3" s="1108"/>
      <c r="R3" s="1109"/>
      <c r="S3" s="70"/>
      <c r="T3" s="1110" t="s">
        <v>643</v>
      </c>
      <c r="U3" s="1111"/>
      <c r="V3" s="1111"/>
      <c r="W3" s="1111"/>
      <c r="X3" s="1112"/>
    </row>
    <row r="4" spans="2:24" ht="45" x14ac:dyDescent="0.25">
      <c r="B4" s="277" t="s">
        <v>291</v>
      </c>
      <c r="C4" s="278" t="s">
        <v>292</v>
      </c>
      <c r="D4" s="278" t="s">
        <v>649</v>
      </c>
      <c r="E4" s="278" t="s">
        <v>293</v>
      </c>
      <c r="F4" s="279" t="s">
        <v>650</v>
      </c>
      <c r="G4" s="6"/>
      <c r="H4" s="280" t="s">
        <v>291</v>
      </c>
      <c r="I4" s="281" t="s">
        <v>292</v>
      </c>
      <c r="J4" s="281" t="s">
        <v>649</v>
      </c>
      <c r="K4" s="281" t="s">
        <v>293</v>
      </c>
      <c r="L4" s="282" t="s">
        <v>650</v>
      </c>
      <c r="M4" s="191"/>
      <c r="N4" s="288" t="s">
        <v>291</v>
      </c>
      <c r="O4" s="289" t="s">
        <v>292</v>
      </c>
      <c r="P4" s="289" t="s">
        <v>649</v>
      </c>
      <c r="Q4" s="289" t="s">
        <v>293</v>
      </c>
      <c r="R4" s="290" t="s">
        <v>650</v>
      </c>
      <c r="S4" s="233"/>
      <c r="T4" s="291" t="s">
        <v>291</v>
      </c>
      <c r="U4" s="292" t="s">
        <v>292</v>
      </c>
      <c r="V4" s="292" t="s">
        <v>649</v>
      </c>
      <c r="W4" s="292" t="s">
        <v>293</v>
      </c>
      <c r="X4" s="293" t="s">
        <v>650</v>
      </c>
    </row>
    <row r="5" spans="2:24" x14ac:dyDescent="0.25">
      <c r="B5" s="267" t="s">
        <v>11</v>
      </c>
      <c r="C5" s="268">
        <v>1</v>
      </c>
      <c r="D5" s="268">
        <v>1.67</v>
      </c>
      <c r="E5" s="268">
        <v>0.26</v>
      </c>
      <c r="F5" s="273">
        <v>1.28</v>
      </c>
      <c r="G5" s="6"/>
      <c r="H5" s="96" t="s">
        <v>11</v>
      </c>
      <c r="I5" s="268">
        <v>1</v>
      </c>
      <c r="J5" s="268">
        <v>1.67</v>
      </c>
      <c r="K5" s="268">
        <v>9.99</v>
      </c>
      <c r="L5" s="269">
        <v>16</v>
      </c>
      <c r="N5" s="283" t="s">
        <v>11</v>
      </c>
      <c r="O5" s="268"/>
      <c r="P5" s="268"/>
      <c r="Q5" s="268"/>
      <c r="R5" s="273"/>
      <c r="S5" s="70"/>
      <c r="T5" s="284" t="s">
        <v>11</v>
      </c>
      <c r="U5" s="268"/>
      <c r="V5" s="268"/>
      <c r="W5" s="268"/>
      <c r="X5" s="269"/>
    </row>
    <row r="6" spans="2:24" x14ac:dyDescent="0.25">
      <c r="B6" s="267" t="s">
        <v>12</v>
      </c>
      <c r="C6" s="268">
        <v>0.89</v>
      </c>
      <c r="D6" s="268">
        <v>1.64</v>
      </c>
      <c r="E6" s="268">
        <v>0.26</v>
      </c>
      <c r="F6" s="273">
        <v>1.3</v>
      </c>
      <c r="G6" s="6"/>
      <c r="H6" s="96" t="s">
        <v>12</v>
      </c>
      <c r="I6" s="268">
        <v>0.89</v>
      </c>
      <c r="J6" s="268">
        <v>1.64</v>
      </c>
      <c r="K6" s="268">
        <v>9.99</v>
      </c>
      <c r="L6" s="269">
        <v>16</v>
      </c>
      <c r="N6" s="283" t="s">
        <v>12</v>
      </c>
      <c r="O6" s="268"/>
      <c r="P6" s="268"/>
      <c r="Q6" s="268"/>
      <c r="R6" s="273"/>
      <c r="S6" s="70"/>
      <c r="T6" s="284" t="s">
        <v>12</v>
      </c>
      <c r="U6" s="268"/>
      <c r="V6" s="268"/>
      <c r="W6" s="268"/>
      <c r="X6" s="269"/>
    </row>
    <row r="7" spans="2:24" x14ac:dyDescent="0.25">
      <c r="B7" s="267" t="s">
        <v>13</v>
      </c>
      <c r="C7" s="268">
        <v>0.8</v>
      </c>
      <c r="D7" s="268">
        <v>1.81</v>
      </c>
      <c r="E7" s="268">
        <v>0.27</v>
      </c>
      <c r="F7" s="273">
        <v>1.1599999999999999</v>
      </c>
      <c r="G7" s="6"/>
      <c r="H7" s="96" t="s">
        <v>13</v>
      </c>
      <c r="I7" s="268">
        <v>0.8</v>
      </c>
      <c r="J7" s="268">
        <v>1.81</v>
      </c>
      <c r="K7" s="268">
        <v>9.99</v>
      </c>
      <c r="L7" s="269">
        <v>16</v>
      </c>
      <c r="N7" s="283" t="s">
        <v>13</v>
      </c>
      <c r="O7" s="268"/>
      <c r="P7" s="268"/>
      <c r="Q7" s="268"/>
      <c r="R7" s="273"/>
      <c r="S7" s="70"/>
      <c r="T7" s="284" t="s">
        <v>13</v>
      </c>
      <c r="U7" s="268"/>
      <c r="V7" s="268"/>
      <c r="W7" s="268"/>
      <c r="X7" s="269"/>
    </row>
    <row r="8" spans="2:24" x14ac:dyDescent="0.25">
      <c r="B8" s="267" t="s">
        <v>14</v>
      </c>
      <c r="C8" s="268">
        <v>1.03</v>
      </c>
      <c r="D8" s="268">
        <v>1.9</v>
      </c>
      <c r="E8" s="268">
        <v>0.92</v>
      </c>
      <c r="F8" s="273">
        <v>1.98</v>
      </c>
      <c r="G8" s="6"/>
      <c r="H8" s="96" t="s">
        <v>14</v>
      </c>
      <c r="I8" s="268">
        <v>1.03</v>
      </c>
      <c r="J8" s="268">
        <v>1.9</v>
      </c>
      <c r="K8" s="268">
        <v>8.52</v>
      </c>
      <c r="L8" s="269">
        <v>13.43</v>
      </c>
      <c r="N8" s="283" t="s">
        <v>14</v>
      </c>
      <c r="O8" s="268"/>
      <c r="P8" s="268"/>
      <c r="Q8" s="268"/>
      <c r="R8" s="273"/>
      <c r="S8" s="70"/>
      <c r="T8" s="284" t="s">
        <v>14</v>
      </c>
      <c r="U8" s="268"/>
      <c r="V8" s="268"/>
      <c r="W8" s="268"/>
      <c r="X8" s="269"/>
    </row>
    <row r="9" spans="2:24" x14ac:dyDescent="0.25">
      <c r="B9" s="267" t="s">
        <v>15</v>
      </c>
      <c r="C9" s="268">
        <v>1</v>
      </c>
      <c r="D9" s="268">
        <v>1.93</v>
      </c>
      <c r="E9" s="268">
        <v>1.1200000000000001</v>
      </c>
      <c r="F9" s="273">
        <v>2.67</v>
      </c>
      <c r="G9" s="6"/>
      <c r="H9" s="96" t="s">
        <v>15</v>
      </c>
      <c r="I9" s="268">
        <v>1</v>
      </c>
      <c r="J9" s="268">
        <v>1.93</v>
      </c>
      <c r="K9" s="268">
        <v>9.99</v>
      </c>
      <c r="L9" s="269">
        <v>16</v>
      </c>
      <c r="N9" s="283" t="s">
        <v>15</v>
      </c>
      <c r="O9" s="268"/>
      <c r="P9" s="268"/>
      <c r="Q9" s="268"/>
      <c r="R9" s="273"/>
      <c r="S9" s="70"/>
      <c r="T9" s="284" t="s">
        <v>15</v>
      </c>
      <c r="U9" s="268"/>
      <c r="V9" s="268"/>
      <c r="W9" s="268"/>
      <c r="X9" s="269"/>
    </row>
    <row r="10" spans="2:24" x14ac:dyDescent="0.25">
      <c r="B10" s="267" t="s">
        <v>16</v>
      </c>
      <c r="C10" s="268">
        <v>0.91</v>
      </c>
      <c r="D10" s="268">
        <v>1.74</v>
      </c>
      <c r="E10" s="268">
        <v>0.61</v>
      </c>
      <c r="F10" s="273">
        <v>1.31</v>
      </c>
      <c r="G10" s="6"/>
      <c r="H10" s="96" t="s">
        <v>16</v>
      </c>
      <c r="I10" s="268">
        <v>0.91</v>
      </c>
      <c r="J10" s="268">
        <v>1.74</v>
      </c>
      <c r="K10" s="268">
        <v>7.13</v>
      </c>
      <c r="L10" s="269">
        <v>15.18</v>
      </c>
      <c r="N10" s="283" t="s">
        <v>16</v>
      </c>
      <c r="O10" s="268"/>
      <c r="P10" s="268"/>
      <c r="Q10" s="268"/>
      <c r="R10" s="273"/>
      <c r="S10" s="70"/>
      <c r="T10" s="284" t="s">
        <v>16</v>
      </c>
      <c r="U10" s="268"/>
      <c r="V10" s="268"/>
      <c r="W10" s="268"/>
      <c r="X10" s="269"/>
    </row>
    <row r="11" spans="2:24" x14ac:dyDescent="0.25">
      <c r="B11" s="267" t="s">
        <v>17</v>
      </c>
      <c r="C11" s="268">
        <v>1.1399999999999999</v>
      </c>
      <c r="D11" s="268">
        <v>2.11</v>
      </c>
      <c r="E11" s="268">
        <v>1.2</v>
      </c>
      <c r="F11" s="273">
        <v>2.7</v>
      </c>
      <c r="G11" s="6"/>
      <c r="H11" s="96" t="s">
        <v>17</v>
      </c>
      <c r="I11" s="268">
        <v>1.1399999999999999</v>
      </c>
      <c r="J11" s="268">
        <v>2.11</v>
      </c>
      <c r="K11" s="268">
        <v>7.17</v>
      </c>
      <c r="L11" s="269">
        <v>11.19</v>
      </c>
      <c r="N11" s="283" t="s">
        <v>17</v>
      </c>
      <c r="O11" s="268"/>
      <c r="P11" s="268"/>
      <c r="Q11" s="268"/>
      <c r="R11" s="273"/>
      <c r="S11" s="70"/>
      <c r="T11" s="284" t="s">
        <v>17</v>
      </c>
      <c r="U11" s="268"/>
      <c r="V11" s="268"/>
      <c r="W11" s="268"/>
      <c r="X11" s="269"/>
    </row>
    <row r="12" spans="2:24" x14ac:dyDescent="0.25">
      <c r="B12" s="267" t="s">
        <v>18</v>
      </c>
      <c r="C12" s="268">
        <v>0.98</v>
      </c>
      <c r="D12" s="268">
        <v>1.99</v>
      </c>
      <c r="E12" s="268">
        <v>1.55</v>
      </c>
      <c r="F12" s="273">
        <v>3.15</v>
      </c>
      <c r="G12" s="6"/>
      <c r="H12" s="96" t="s">
        <v>18</v>
      </c>
      <c r="I12" s="268">
        <v>0.98</v>
      </c>
      <c r="J12" s="268">
        <v>1.99</v>
      </c>
      <c r="K12" s="268">
        <v>13.46</v>
      </c>
      <c r="L12" s="269">
        <v>19.190000000000001</v>
      </c>
      <c r="N12" s="283" t="s">
        <v>18</v>
      </c>
      <c r="O12" s="268"/>
      <c r="P12" s="268"/>
      <c r="Q12" s="268"/>
      <c r="R12" s="273"/>
      <c r="S12" s="70"/>
      <c r="T12" s="284" t="s">
        <v>18</v>
      </c>
      <c r="U12" s="268"/>
      <c r="V12" s="268"/>
      <c r="W12" s="268"/>
      <c r="X12" s="269"/>
    </row>
    <row r="13" spans="2:24" x14ac:dyDescent="0.25">
      <c r="B13" s="267" t="s">
        <v>19</v>
      </c>
      <c r="C13" s="268">
        <v>0.88</v>
      </c>
      <c r="D13" s="268">
        <v>1.81</v>
      </c>
      <c r="E13" s="268">
        <v>0.39</v>
      </c>
      <c r="F13" s="273">
        <v>1.26</v>
      </c>
      <c r="G13" s="6"/>
      <c r="H13" s="96" t="s">
        <v>19</v>
      </c>
      <c r="I13" s="268">
        <v>0.88</v>
      </c>
      <c r="J13" s="268">
        <v>1.81</v>
      </c>
      <c r="K13" s="268">
        <v>9.99</v>
      </c>
      <c r="L13" s="269">
        <v>16</v>
      </c>
      <c r="N13" s="283" t="s">
        <v>19</v>
      </c>
      <c r="O13" s="268"/>
      <c r="P13" s="268"/>
      <c r="Q13" s="268"/>
      <c r="R13" s="273"/>
      <c r="S13" s="70"/>
      <c r="T13" s="284" t="s">
        <v>19</v>
      </c>
      <c r="U13" s="268"/>
      <c r="V13" s="268"/>
      <c r="W13" s="268"/>
      <c r="X13" s="269"/>
    </row>
    <row r="14" spans="2:24" x14ac:dyDescent="0.25">
      <c r="B14" s="267" t="s">
        <v>20</v>
      </c>
      <c r="C14" s="268">
        <v>1.03</v>
      </c>
      <c r="D14" s="268">
        <v>1.85</v>
      </c>
      <c r="E14" s="268">
        <v>1</v>
      </c>
      <c r="F14" s="273">
        <v>2.4700000000000002</v>
      </c>
      <c r="G14" s="6"/>
      <c r="H14" s="96" t="s">
        <v>20</v>
      </c>
      <c r="I14" s="268">
        <v>1.03</v>
      </c>
      <c r="J14" s="268">
        <v>1.85</v>
      </c>
      <c r="K14" s="268">
        <v>9.99</v>
      </c>
      <c r="L14" s="269">
        <v>16</v>
      </c>
      <c r="N14" s="283" t="s">
        <v>20</v>
      </c>
      <c r="O14" s="268"/>
      <c r="P14" s="268"/>
      <c r="Q14" s="268"/>
      <c r="R14" s="273"/>
      <c r="S14" s="70"/>
      <c r="T14" s="284" t="s">
        <v>20</v>
      </c>
      <c r="U14" s="268"/>
      <c r="V14" s="268"/>
      <c r="W14" s="268"/>
      <c r="X14" s="269"/>
    </row>
    <row r="15" spans="2:24" x14ac:dyDescent="0.25">
      <c r="B15" s="267" t="s">
        <v>21</v>
      </c>
      <c r="C15" s="268">
        <v>1.08</v>
      </c>
      <c r="D15" s="268">
        <v>2.11</v>
      </c>
      <c r="E15" s="268">
        <v>2.12</v>
      </c>
      <c r="F15" s="273">
        <v>3.49</v>
      </c>
      <c r="G15" s="6"/>
      <c r="H15" s="96" t="s">
        <v>21</v>
      </c>
      <c r="I15" s="268">
        <v>1.08</v>
      </c>
      <c r="J15" s="268">
        <v>2.11</v>
      </c>
      <c r="K15" s="268">
        <v>9.4700000000000006</v>
      </c>
      <c r="L15" s="269">
        <v>14.81</v>
      </c>
      <c r="N15" s="283" t="s">
        <v>21</v>
      </c>
      <c r="O15" s="268"/>
      <c r="P15" s="268"/>
      <c r="Q15" s="268"/>
      <c r="R15" s="273"/>
      <c r="S15" s="70"/>
      <c r="T15" s="284" t="s">
        <v>21</v>
      </c>
      <c r="U15" s="268"/>
      <c r="V15" s="268"/>
      <c r="W15" s="268"/>
      <c r="X15" s="269"/>
    </row>
    <row r="16" spans="2:24" x14ac:dyDescent="0.25">
      <c r="B16" s="267" t="s">
        <v>22</v>
      </c>
      <c r="C16" s="268">
        <v>1.05</v>
      </c>
      <c r="D16" s="268">
        <v>2.2599999999999998</v>
      </c>
      <c r="E16" s="268">
        <v>1.75</v>
      </c>
      <c r="F16" s="273">
        <v>3.45</v>
      </c>
      <c r="G16" s="6"/>
      <c r="H16" s="96" t="s">
        <v>22</v>
      </c>
      <c r="I16" s="268">
        <v>1.05</v>
      </c>
      <c r="J16" s="268">
        <v>2.2599999999999998</v>
      </c>
      <c r="K16" s="268">
        <v>8.51</v>
      </c>
      <c r="L16" s="269">
        <v>13.92</v>
      </c>
      <c r="N16" s="283" t="s">
        <v>22</v>
      </c>
      <c r="O16" s="268"/>
      <c r="P16" s="268"/>
      <c r="Q16" s="268"/>
      <c r="R16" s="273"/>
      <c r="S16" s="70"/>
      <c r="T16" s="284" t="s">
        <v>22</v>
      </c>
      <c r="U16" s="268"/>
      <c r="V16" s="268"/>
      <c r="W16" s="268"/>
      <c r="X16" s="269"/>
    </row>
    <row r="17" spans="2:24" x14ac:dyDescent="0.25">
      <c r="B17" s="267" t="s">
        <v>23</v>
      </c>
      <c r="C17" s="268">
        <v>0.37</v>
      </c>
      <c r="D17" s="268">
        <v>1.51</v>
      </c>
      <c r="E17" s="268">
        <v>0.32</v>
      </c>
      <c r="F17" s="273">
        <v>1.59</v>
      </c>
      <c r="G17" s="6"/>
      <c r="H17" s="96" t="s">
        <v>23</v>
      </c>
      <c r="I17" s="268">
        <v>0.37</v>
      </c>
      <c r="J17" s="268">
        <v>1.51</v>
      </c>
      <c r="K17" s="268">
        <v>9.99</v>
      </c>
      <c r="L17" s="269">
        <v>16</v>
      </c>
      <c r="N17" s="283" t="s">
        <v>23</v>
      </c>
      <c r="O17" s="268"/>
      <c r="P17" s="268"/>
      <c r="Q17" s="268"/>
      <c r="R17" s="273"/>
      <c r="S17" s="70"/>
      <c r="T17" s="284" t="s">
        <v>23</v>
      </c>
      <c r="U17" s="268"/>
      <c r="V17" s="268"/>
      <c r="W17" s="268"/>
      <c r="X17" s="269"/>
    </row>
    <row r="18" spans="2:24" x14ac:dyDescent="0.25">
      <c r="B18" s="267" t="s">
        <v>24</v>
      </c>
      <c r="C18" s="268">
        <v>0.74</v>
      </c>
      <c r="D18" s="268">
        <v>1.53</v>
      </c>
      <c r="E18" s="268">
        <v>0.4</v>
      </c>
      <c r="F18" s="273">
        <v>1.33</v>
      </c>
      <c r="G18" s="6"/>
      <c r="H18" s="96" t="s">
        <v>24</v>
      </c>
      <c r="I18" s="268">
        <v>0.74</v>
      </c>
      <c r="J18" s="268">
        <v>1.53</v>
      </c>
      <c r="K18" s="268">
        <v>9.99</v>
      </c>
      <c r="L18" s="269">
        <v>16</v>
      </c>
      <c r="N18" s="283" t="s">
        <v>24</v>
      </c>
      <c r="O18" s="268"/>
      <c r="P18" s="268"/>
      <c r="Q18" s="268"/>
      <c r="R18" s="273"/>
      <c r="S18" s="70"/>
      <c r="T18" s="284" t="s">
        <v>24</v>
      </c>
      <c r="U18" s="268"/>
      <c r="V18" s="268"/>
      <c r="W18" s="268"/>
      <c r="X18" s="269"/>
    </row>
    <row r="19" spans="2:24" x14ac:dyDescent="0.25">
      <c r="B19" s="267" t="s">
        <v>25</v>
      </c>
      <c r="C19" s="268">
        <v>1.04</v>
      </c>
      <c r="D19" s="268">
        <v>1.95</v>
      </c>
      <c r="E19" s="268">
        <v>0.79</v>
      </c>
      <c r="F19" s="273">
        <v>2.16</v>
      </c>
      <c r="G19" s="6"/>
      <c r="H19" s="96" t="s">
        <v>25</v>
      </c>
      <c r="I19" s="268">
        <v>1.04</v>
      </c>
      <c r="J19" s="268">
        <v>1.95</v>
      </c>
      <c r="K19" s="268">
        <v>9.99</v>
      </c>
      <c r="L19" s="269">
        <v>16</v>
      </c>
      <c r="N19" s="283" t="s">
        <v>25</v>
      </c>
      <c r="O19" s="268"/>
      <c r="P19" s="268"/>
      <c r="Q19" s="268"/>
      <c r="R19" s="273"/>
      <c r="S19" s="70"/>
      <c r="T19" s="284" t="s">
        <v>25</v>
      </c>
      <c r="U19" s="268"/>
      <c r="V19" s="268"/>
      <c r="W19" s="268"/>
      <c r="X19" s="269"/>
    </row>
    <row r="20" spans="2:24" x14ac:dyDescent="0.25">
      <c r="B20" s="267" t="s">
        <v>26</v>
      </c>
      <c r="C20" s="268">
        <v>0.68</v>
      </c>
      <c r="D20" s="268">
        <v>1.58</v>
      </c>
      <c r="E20" s="268">
        <v>0.3</v>
      </c>
      <c r="F20" s="273">
        <v>1.39</v>
      </c>
      <c r="G20" s="6"/>
      <c r="H20" s="96" t="s">
        <v>26</v>
      </c>
      <c r="I20" s="268">
        <v>0.68</v>
      </c>
      <c r="J20" s="268">
        <v>1.58</v>
      </c>
      <c r="K20" s="268">
        <v>9.99</v>
      </c>
      <c r="L20" s="269">
        <v>16</v>
      </c>
      <c r="N20" s="283" t="s">
        <v>26</v>
      </c>
      <c r="O20" s="268"/>
      <c r="P20" s="268"/>
      <c r="Q20" s="268"/>
      <c r="R20" s="273"/>
      <c r="S20" s="70"/>
      <c r="T20" s="284" t="s">
        <v>26</v>
      </c>
      <c r="U20" s="268"/>
      <c r="V20" s="268"/>
      <c r="W20" s="268"/>
      <c r="X20" s="269"/>
    </row>
    <row r="21" spans="2:24" x14ac:dyDescent="0.25">
      <c r="B21" s="267" t="s">
        <v>27</v>
      </c>
      <c r="C21" s="268">
        <v>1.1000000000000001</v>
      </c>
      <c r="D21" s="268">
        <v>1.95</v>
      </c>
      <c r="E21" s="268">
        <v>2.38</v>
      </c>
      <c r="F21" s="273">
        <v>4.12</v>
      </c>
      <c r="G21" s="6"/>
      <c r="H21" s="96" t="s">
        <v>27</v>
      </c>
      <c r="I21" s="268">
        <v>1.1000000000000001</v>
      </c>
      <c r="J21" s="268">
        <v>1.95</v>
      </c>
      <c r="K21" s="268">
        <v>11.02</v>
      </c>
      <c r="L21" s="269">
        <v>16.100000000000001</v>
      </c>
      <c r="N21" s="283" t="s">
        <v>27</v>
      </c>
      <c r="O21" s="268"/>
      <c r="P21" s="268"/>
      <c r="Q21" s="268"/>
      <c r="R21" s="273"/>
      <c r="S21" s="70"/>
      <c r="T21" s="284" t="s">
        <v>27</v>
      </c>
      <c r="U21" s="268"/>
      <c r="V21" s="268"/>
      <c r="W21" s="268"/>
      <c r="X21" s="269"/>
    </row>
    <row r="22" spans="2:24" x14ac:dyDescent="0.25">
      <c r="B22" s="267" t="s">
        <v>28</v>
      </c>
      <c r="C22" s="268">
        <v>0.92</v>
      </c>
      <c r="D22" s="268">
        <v>1.81</v>
      </c>
      <c r="E22" s="268">
        <v>0.56999999999999995</v>
      </c>
      <c r="F22" s="273">
        <v>1.45</v>
      </c>
      <c r="G22" s="6"/>
      <c r="H22" s="96" t="s">
        <v>28</v>
      </c>
      <c r="I22" s="268">
        <v>0.92</v>
      </c>
      <c r="J22" s="268">
        <v>1.81</v>
      </c>
      <c r="K22" s="268">
        <v>9.99</v>
      </c>
      <c r="L22" s="269">
        <v>16</v>
      </c>
      <c r="N22" s="283" t="s">
        <v>28</v>
      </c>
      <c r="O22" s="268"/>
      <c r="P22" s="268"/>
      <c r="Q22" s="268"/>
      <c r="R22" s="273"/>
      <c r="S22" s="70"/>
      <c r="T22" s="284" t="s">
        <v>28</v>
      </c>
      <c r="U22" s="268"/>
      <c r="V22" s="268"/>
      <c r="W22" s="268"/>
      <c r="X22" s="269"/>
    </row>
    <row r="23" spans="2:24" x14ac:dyDescent="0.25">
      <c r="B23" s="267" t="s">
        <v>29</v>
      </c>
      <c r="C23" s="268">
        <v>1.18</v>
      </c>
      <c r="D23" s="268">
        <v>2.11</v>
      </c>
      <c r="E23" s="268">
        <v>1.91</v>
      </c>
      <c r="F23" s="273">
        <v>3.39</v>
      </c>
      <c r="G23" s="6"/>
      <c r="H23" s="96" t="s">
        <v>29</v>
      </c>
      <c r="I23" s="268">
        <v>1.18</v>
      </c>
      <c r="J23" s="268">
        <v>2.11</v>
      </c>
      <c r="K23" s="268">
        <v>10.9</v>
      </c>
      <c r="L23" s="269">
        <v>17.03</v>
      </c>
      <c r="N23" s="283" t="s">
        <v>29</v>
      </c>
      <c r="O23" s="268"/>
      <c r="P23" s="268"/>
      <c r="Q23" s="268"/>
      <c r="R23" s="273"/>
      <c r="S23" s="70"/>
      <c r="T23" s="284" t="s">
        <v>29</v>
      </c>
      <c r="U23" s="268"/>
      <c r="V23" s="268"/>
      <c r="W23" s="268"/>
      <c r="X23" s="269"/>
    </row>
    <row r="24" spans="2:24" x14ac:dyDescent="0.25">
      <c r="B24" s="267" t="s">
        <v>30</v>
      </c>
      <c r="C24" s="268">
        <v>0.9</v>
      </c>
      <c r="D24" s="268">
        <v>1.89</v>
      </c>
      <c r="E24" s="268">
        <v>0.61</v>
      </c>
      <c r="F24" s="273">
        <v>1.7</v>
      </c>
      <c r="G24" s="6"/>
      <c r="H24" s="96" t="s">
        <v>30</v>
      </c>
      <c r="I24" s="268">
        <v>0.9</v>
      </c>
      <c r="J24" s="268">
        <v>1.89</v>
      </c>
      <c r="K24" s="268">
        <v>9.99</v>
      </c>
      <c r="L24" s="269">
        <v>16</v>
      </c>
      <c r="N24" s="283" t="s">
        <v>30</v>
      </c>
      <c r="O24" s="268"/>
      <c r="P24" s="268"/>
      <c r="Q24" s="268"/>
      <c r="R24" s="273"/>
      <c r="S24" s="70"/>
      <c r="T24" s="284" t="s">
        <v>30</v>
      </c>
      <c r="U24" s="268"/>
      <c r="V24" s="268"/>
      <c r="W24" s="268"/>
      <c r="X24" s="269"/>
    </row>
    <row r="25" spans="2:24" x14ac:dyDescent="0.25">
      <c r="B25" s="267" t="s">
        <v>31</v>
      </c>
      <c r="C25" s="268">
        <v>0.47</v>
      </c>
      <c r="D25" s="268">
        <v>1.45</v>
      </c>
      <c r="E25" s="268">
        <v>0.43</v>
      </c>
      <c r="F25" s="273">
        <v>1.46</v>
      </c>
      <c r="G25" s="6"/>
      <c r="H25" s="96" t="s">
        <v>31</v>
      </c>
      <c r="I25" s="268">
        <v>0.47</v>
      </c>
      <c r="J25" s="268">
        <v>1.45</v>
      </c>
      <c r="K25" s="268">
        <v>9.99</v>
      </c>
      <c r="L25" s="269">
        <v>16</v>
      </c>
      <c r="N25" s="283" t="s">
        <v>31</v>
      </c>
      <c r="O25" s="268"/>
      <c r="P25" s="268"/>
      <c r="Q25" s="268"/>
      <c r="R25" s="273"/>
      <c r="S25" s="70"/>
      <c r="T25" s="284" t="s">
        <v>31</v>
      </c>
      <c r="U25" s="268"/>
      <c r="V25" s="268"/>
      <c r="W25" s="268"/>
      <c r="X25" s="269"/>
    </row>
    <row r="26" spans="2:24" ht="15.75" thickBot="1" x14ac:dyDescent="0.3">
      <c r="B26" s="270" t="s">
        <v>32</v>
      </c>
      <c r="C26" s="271">
        <v>0.86</v>
      </c>
      <c r="D26" s="271">
        <v>1.74</v>
      </c>
      <c r="E26" s="271">
        <v>0.18</v>
      </c>
      <c r="F26" s="274">
        <v>1.18</v>
      </c>
      <c r="G26" s="275"/>
      <c r="H26" s="276" t="s">
        <v>32</v>
      </c>
      <c r="I26" s="271">
        <v>0.86</v>
      </c>
      <c r="J26" s="271">
        <v>1.74</v>
      </c>
      <c r="K26" s="271">
        <v>9.99</v>
      </c>
      <c r="L26" s="272">
        <v>16</v>
      </c>
      <c r="N26" s="285" t="s">
        <v>32</v>
      </c>
      <c r="O26" s="271"/>
      <c r="P26" s="271"/>
      <c r="Q26" s="271"/>
      <c r="R26" s="274"/>
      <c r="S26" s="286"/>
      <c r="T26" s="287" t="s">
        <v>32</v>
      </c>
      <c r="U26" s="271"/>
      <c r="V26" s="271"/>
      <c r="W26" s="271"/>
      <c r="X26" s="272"/>
    </row>
    <row r="27" spans="2:24" ht="15.75" thickTop="1" x14ac:dyDescent="0.25"/>
    <row r="28" spans="2:24" x14ac:dyDescent="0.25">
      <c r="B28" s="1113" t="s">
        <v>754</v>
      </c>
      <c r="C28" s="1113"/>
      <c r="D28" s="1113"/>
      <c r="E28" s="1113"/>
      <c r="F28" s="1113"/>
      <c r="G28" s="1113"/>
      <c r="H28" s="1113"/>
      <c r="I28" s="1113"/>
      <c r="J28" s="1113"/>
      <c r="K28" s="1113"/>
      <c r="L28" s="1113"/>
      <c r="M28" s="499"/>
      <c r="N28" s="1114" t="s">
        <v>2610</v>
      </c>
      <c r="O28" s="1114"/>
      <c r="P28" s="1114"/>
      <c r="Q28" s="1114"/>
      <c r="R28" s="1114"/>
      <c r="S28" s="1114"/>
      <c r="T28" s="1114"/>
      <c r="U28" s="1114"/>
      <c r="V28" s="1114"/>
      <c r="W28" s="1114"/>
      <c r="X28" s="1114"/>
    </row>
    <row r="29" spans="2:24" x14ac:dyDescent="0.25">
      <c r="B29" s="1113"/>
      <c r="C29" s="1113"/>
      <c r="D29" s="1113"/>
      <c r="E29" s="1113"/>
      <c r="F29" s="1113"/>
      <c r="G29" s="1113"/>
      <c r="H29" s="1113"/>
      <c r="I29" s="1113"/>
      <c r="J29" s="1113"/>
      <c r="K29" s="1113"/>
      <c r="L29" s="1113"/>
      <c r="M29" s="499"/>
      <c r="N29" s="1114"/>
      <c r="O29" s="1114"/>
      <c r="P29" s="1114"/>
      <c r="Q29" s="1114"/>
      <c r="R29" s="1114"/>
      <c r="S29" s="1114"/>
      <c r="T29" s="1114"/>
      <c r="U29" s="1114"/>
      <c r="V29" s="1114"/>
      <c r="W29" s="1114"/>
      <c r="X29" s="1114"/>
    </row>
    <row r="30" spans="2:24" x14ac:dyDescent="0.25">
      <c r="B30" s="1113" t="s">
        <v>2547</v>
      </c>
      <c r="C30" s="1113"/>
      <c r="D30" s="1113"/>
      <c r="E30" s="1113"/>
      <c r="F30" s="1113"/>
      <c r="G30" s="1113"/>
      <c r="H30" s="1113"/>
      <c r="I30" s="1113"/>
      <c r="J30" s="1113"/>
      <c r="K30" s="1113"/>
      <c r="L30" s="1113"/>
      <c r="M30" s="499"/>
      <c r="N30" s="1115"/>
      <c r="O30" s="1116"/>
      <c r="P30" s="1116"/>
      <c r="Q30" s="1116"/>
      <c r="R30" s="1116"/>
      <c r="S30" s="1116"/>
      <c r="T30" s="1116"/>
      <c r="U30" s="1116"/>
      <c r="V30" s="1116"/>
      <c r="W30" s="1116"/>
      <c r="X30" s="1117"/>
    </row>
    <row r="31" spans="2:24" x14ac:dyDescent="0.25">
      <c r="B31" s="1113"/>
      <c r="C31" s="1113"/>
      <c r="D31" s="1113"/>
      <c r="E31" s="1113"/>
      <c r="F31" s="1113"/>
      <c r="G31" s="1113"/>
      <c r="H31" s="1113"/>
      <c r="I31" s="1113"/>
      <c r="J31" s="1113"/>
      <c r="K31" s="1113"/>
      <c r="L31" s="1113"/>
      <c r="M31" s="499"/>
      <c r="N31" s="1118"/>
      <c r="O31" s="1119"/>
      <c r="P31" s="1119"/>
      <c r="Q31" s="1119"/>
      <c r="R31" s="1119"/>
      <c r="S31" s="1119"/>
      <c r="T31" s="1119"/>
      <c r="U31" s="1119"/>
      <c r="V31" s="1119"/>
      <c r="W31" s="1119"/>
      <c r="X31" s="1120"/>
    </row>
    <row r="32" spans="2:24" x14ac:dyDescent="0.25">
      <c r="B32" s="1113"/>
      <c r="C32" s="1113"/>
      <c r="D32" s="1113"/>
      <c r="E32" s="1113"/>
      <c r="F32" s="1113"/>
      <c r="G32" s="1113"/>
      <c r="H32" s="1113"/>
      <c r="I32" s="1113"/>
      <c r="J32" s="1113"/>
      <c r="K32" s="1113"/>
      <c r="L32" s="1113"/>
      <c r="M32" s="499"/>
      <c r="N32" s="1118"/>
      <c r="O32" s="1119"/>
      <c r="P32" s="1119"/>
      <c r="Q32" s="1119"/>
      <c r="R32" s="1119"/>
      <c r="S32" s="1119"/>
      <c r="T32" s="1119"/>
      <c r="U32" s="1119"/>
      <c r="V32" s="1119"/>
      <c r="W32" s="1119"/>
      <c r="X32" s="1120"/>
    </row>
    <row r="33" spans="2:24" x14ac:dyDescent="0.25">
      <c r="B33" s="1113" t="s">
        <v>2548</v>
      </c>
      <c r="C33" s="1113"/>
      <c r="D33" s="1113"/>
      <c r="E33" s="1113"/>
      <c r="F33" s="1113"/>
      <c r="G33" s="1113"/>
      <c r="H33" s="1113"/>
      <c r="I33" s="1113"/>
      <c r="J33" s="1113"/>
      <c r="K33" s="1113"/>
      <c r="L33" s="1113"/>
      <c r="M33" s="499"/>
      <c r="N33" s="1118"/>
      <c r="O33" s="1119"/>
      <c r="P33" s="1119"/>
      <c r="Q33" s="1119"/>
      <c r="R33" s="1119"/>
      <c r="S33" s="1119"/>
      <c r="T33" s="1119"/>
      <c r="U33" s="1119"/>
      <c r="V33" s="1119"/>
      <c r="W33" s="1119"/>
      <c r="X33" s="1120"/>
    </row>
    <row r="34" spans="2:24" x14ac:dyDescent="0.25">
      <c r="B34" s="1113"/>
      <c r="C34" s="1113"/>
      <c r="D34" s="1113"/>
      <c r="E34" s="1113"/>
      <c r="F34" s="1113"/>
      <c r="G34" s="1113"/>
      <c r="H34" s="1113"/>
      <c r="I34" s="1113"/>
      <c r="J34" s="1113"/>
      <c r="K34" s="1113"/>
      <c r="L34" s="1113"/>
      <c r="M34" s="499"/>
      <c r="N34" s="1118"/>
      <c r="O34" s="1119"/>
      <c r="P34" s="1119"/>
      <c r="Q34" s="1119"/>
      <c r="R34" s="1119"/>
      <c r="S34" s="1119"/>
      <c r="T34" s="1119"/>
      <c r="U34" s="1119"/>
      <c r="V34" s="1119"/>
      <c r="W34" s="1119"/>
      <c r="X34" s="1120"/>
    </row>
    <row r="35" spans="2:24" x14ac:dyDescent="0.25">
      <c r="B35" s="1113"/>
      <c r="C35" s="1113"/>
      <c r="D35" s="1113"/>
      <c r="E35" s="1113"/>
      <c r="F35" s="1113"/>
      <c r="G35" s="1113"/>
      <c r="H35" s="1113"/>
      <c r="I35" s="1113"/>
      <c r="J35" s="1113"/>
      <c r="K35" s="1113"/>
      <c r="L35" s="1113"/>
      <c r="M35" s="499"/>
      <c r="N35" s="1121"/>
      <c r="O35" s="1122"/>
      <c r="P35" s="1122"/>
      <c r="Q35" s="1122"/>
      <c r="R35" s="1122"/>
      <c r="S35" s="1122"/>
      <c r="T35" s="1122"/>
      <c r="U35" s="1122"/>
      <c r="V35" s="1122"/>
      <c r="W35" s="1122"/>
      <c r="X35" s="1123"/>
    </row>
  </sheetData>
  <sheetProtection algorithmName="SHA-512" hashValue="0QFXGTw7n8IqgCXzHnkY6F5VVg27RIDoaYIDcYSoKH2vEtmFggp1yuK6VFSSen9kGn4njCSsZg0xtfwaipvaNg==" saltValue="+stVQa7Kl2/KyyJvwXHHdw==" spinCount="100000" sheet="1" objects="1" scenarios="1"/>
  <mergeCells count="11">
    <mergeCell ref="B28:L29"/>
    <mergeCell ref="B30:L32"/>
    <mergeCell ref="B33:L35"/>
    <mergeCell ref="N28:X29"/>
    <mergeCell ref="N30:X35"/>
    <mergeCell ref="B3:F3"/>
    <mergeCell ref="H3:L3"/>
    <mergeCell ref="B2:L2"/>
    <mergeCell ref="N2:X2"/>
    <mergeCell ref="N3:R3"/>
    <mergeCell ref="T3:X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V306"/>
  <sheetViews>
    <sheetView zoomScale="80" zoomScaleNormal="80" workbookViewId="0">
      <pane ySplit="4" topLeftCell="A269" activePane="bottomLeft" state="frozen"/>
      <selection activeCell="L226" sqref="L226:M226"/>
      <selection pane="bottomLeft" activeCell="E292" sqref="E292:K306"/>
    </sheetView>
  </sheetViews>
  <sheetFormatPr baseColWidth="10" defaultColWidth="9.140625" defaultRowHeight="15" x14ac:dyDescent="0.25"/>
  <cols>
    <col min="1" max="1" width="9.140625" style="371"/>
    <col min="2" max="2" width="9.140625" style="371" hidden="1" customWidth="1"/>
    <col min="3" max="3" width="54.140625" style="371" hidden="1" customWidth="1"/>
    <col min="4" max="4" width="4.7109375" style="225" customWidth="1"/>
    <col min="5" max="5" width="28.140625" style="294" bestFit="1" customWidth="1"/>
    <col min="6" max="6" width="13.42578125" style="294" customWidth="1"/>
    <col min="7" max="7" width="33" style="294" hidden="1" customWidth="1"/>
    <col min="8" max="11" width="19.42578125" style="294" customWidth="1"/>
    <col min="12" max="12" width="6.85546875" style="364" customWidth="1"/>
    <col min="13" max="13" width="12.5703125" style="364" hidden="1" customWidth="1"/>
    <col min="14" max="14" width="19.42578125" style="373" hidden="1" customWidth="1"/>
    <col min="15" max="15" width="9.140625" style="225"/>
    <col min="16" max="16" width="26.5703125" style="182" bestFit="1" customWidth="1"/>
    <col min="17" max="17" width="13.42578125" style="182" customWidth="1"/>
    <col min="18" max="18" width="33" style="182" hidden="1" customWidth="1"/>
    <col min="19" max="22" width="19.42578125" style="182" customWidth="1"/>
    <col min="23" max="16384" width="9.140625" style="225"/>
  </cols>
  <sheetData>
    <row r="1" spans="2:22" ht="15.75" thickBot="1" x14ac:dyDescent="0.3"/>
    <row r="2" spans="2:22" ht="20.25" thickTop="1" thickBot="1" x14ac:dyDescent="0.35">
      <c r="E2" s="1129" t="s">
        <v>2607</v>
      </c>
      <c r="F2" s="1130"/>
      <c r="G2" s="1130"/>
      <c r="H2" s="1130"/>
      <c r="I2" s="1130"/>
      <c r="J2" s="1130"/>
      <c r="K2" s="1131"/>
      <c r="L2" s="366"/>
      <c r="M2" s="366"/>
      <c r="N2" s="374"/>
      <c r="P2" s="1138" t="s">
        <v>2608</v>
      </c>
      <c r="Q2" s="1139"/>
      <c r="R2" s="1139"/>
      <c r="S2" s="1139"/>
      <c r="T2" s="1139"/>
      <c r="U2" s="1139"/>
      <c r="V2" s="1140"/>
    </row>
    <row r="3" spans="2:22" x14ac:dyDescent="0.25">
      <c r="B3" s="368" t="s">
        <v>702</v>
      </c>
      <c r="C3" s="368" t="s">
        <v>700</v>
      </c>
      <c r="E3" s="1136" t="s">
        <v>291</v>
      </c>
      <c r="F3" s="1134" t="s">
        <v>644</v>
      </c>
      <c r="G3" s="1132" t="s">
        <v>645</v>
      </c>
      <c r="H3" s="1127" t="s">
        <v>297</v>
      </c>
      <c r="I3" s="1127"/>
      <c r="J3" s="1127" t="s">
        <v>298</v>
      </c>
      <c r="K3" s="1128"/>
      <c r="L3" s="365"/>
      <c r="M3" s="368" t="s">
        <v>703</v>
      </c>
      <c r="N3" s="375" t="s">
        <v>701</v>
      </c>
      <c r="P3" s="1141" t="s">
        <v>291</v>
      </c>
      <c r="Q3" s="1143" t="s">
        <v>644</v>
      </c>
      <c r="R3" s="1145" t="s">
        <v>645</v>
      </c>
      <c r="S3" s="1147" t="s">
        <v>297</v>
      </c>
      <c r="T3" s="1147"/>
      <c r="U3" s="1147" t="s">
        <v>298</v>
      </c>
      <c r="V3" s="1148"/>
    </row>
    <row r="4" spans="2:22" ht="15.75" thickBot="1" x14ac:dyDescent="0.3">
      <c r="E4" s="1137"/>
      <c r="F4" s="1135"/>
      <c r="G4" s="1133"/>
      <c r="H4" s="322" t="s">
        <v>299</v>
      </c>
      <c r="I4" s="323" t="s">
        <v>300</v>
      </c>
      <c r="J4" s="322" t="s">
        <v>299</v>
      </c>
      <c r="K4" s="324" t="s">
        <v>300</v>
      </c>
      <c r="L4" s="367"/>
      <c r="M4" s="367"/>
      <c r="N4" s="376"/>
      <c r="P4" s="1142"/>
      <c r="Q4" s="1144"/>
      <c r="R4" s="1146"/>
      <c r="S4" s="311" t="s">
        <v>299</v>
      </c>
      <c r="T4" s="312" t="s">
        <v>300</v>
      </c>
      <c r="U4" s="311" t="s">
        <v>299</v>
      </c>
      <c r="V4" s="313" t="s">
        <v>300</v>
      </c>
    </row>
    <row r="5" spans="2:22" x14ac:dyDescent="0.25">
      <c r="B5" s="371" t="str">
        <f>E5&amp;F5</f>
        <v>AlsaceAbricotier</v>
      </c>
      <c r="C5" s="371" t="str">
        <f>E5&amp;F5&amp;G5</f>
        <v>AlsaceAbricotierAbricotier</v>
      </c>
      <c r="E5" s="303" t="s">
        <v>11</v>
      </c>
      <c r="F5" s="304" t="s">
        <v>135</v>
      </c>
      <c r="G5" s="304" t="s">
        <v>135</v>
      </c>
      <c r="H5" s="296">
        <v>0.01</v>
      </c>
      <c r="I5" s="296">
        <v>0.62</v>
      </c>
      <c r="J5" s="296">
        <v>5.1100000000000003</v>
      </c>
      <c r="K5" s="300">
        <v>10.66</v>
      </c>
      <c r="L5" s="372"/>
      <c r="M5" s="377" t="str">
        <f>P5&amp;Q5</f>
        <v>AlsaceAbricotier</v>
      </c>
      <c r="N5" s="377" t="str">
        <f>P5&amp;Q5&amp;R5</f>
        <v>AlsaceAbricotierAbricotier</v>
      </c>
      <c r="P5" s="314" t="s">
        <v>11</v>
      </c>
      <c r="Q5" s="315" t="s">
        <v>135</v>
      </c>
      <c r="R5" s="315" t="s">
        <v>135</v>
      </c>
      <c r="S5" s="296"/>
      <c r="T5" s="296"/>
      <c r="U5" s="296"/>
      <c r="V5" s="300"/>
    </row>
    <row r="6" spans="2:22" x14ac:dyDescent="0.25">
      <c r="B6" s="371" t="str">
        <f t="shared" ref="B6:B69" si="0">E6&amp;F6</f>
        <v>AlsaceAgrumes</v>
      </c>
      <c r="C6" s="371" t="str">
        <f t="shared" ref="C6:C69" si="1">E6&amp;F6&amp;G6</f>
        <v>AlsaceAgrumesClémentinier</v>
      </c>
      <c r="E6" s="305" t="s">
        <v>11</v>
      </c>
      <c r="F6" s="306" t="s">
        <v>646</v>
      </c>
      <c r="G6" s="306" t="s">
        <v>143</v>
      </c>
      <c r="H6" s="295">
        <v>0</v>
      </c>
      <c r="I6" s="295">
        <v>0.3</v>
      </c>
      <c r="J6" s="295">
        <v>2</v>
      </c>
      <c r="K6" s="298">
        <v>5</v>
      </c>
      <c r="L6" s="372"/>
      <c r="M6" s="377" t="str">
        <f t="shared" ref="M6:M69" si="2">P6&amp;Q6</f>
        <v>AlsaceAgrumes</v>
      </c>
      <c r="N6" s="377" t="str">
        <f t="shared" ref="N6:N69" si="3">P6&amp;Q6&amp;R6</f>
        <v>AlsaceAgrumesClémentinier</v>
      </c>
      <c r="P6" s="316" t="s">
        <v>11</v>
      </c>
      <c r="Q6" s="317" t="s">
        <v>646</v>
      </c>
      <c r="R6" s="317" t="s">
        <v>143</v>
      </c>
      <c r="S6" s="295"/>
      <c r="T6" s="295"/>
      <c r="U6" s="295"/>
      <c r="V6" s="298"/>
    </row>
    <row r="7" spans="2:22" x14ac:dyDescent="0.25">
      <c r="B7" s="371" t="str">
        <f t="shared" si="0"/>
        <v>AlsaceAutres</v>
      </c>
      <c r="C7" s="371" t="str">
        <f t="shared" si="1"/>
        <v>AlsaceAutresPrunier</v>
      </c>
      <c r="E7" s="305" t="s">
        <v>11</v>
      </c>
      <c r="F7" s="306" t="s">
        <v>178</v>
      </c>
      <c r="G7" s="306" t="s">
        <v>170</v>
      </c>
      <c r="H7" s="295">
        <v>0</v>
      </c>
      <c r="I7" s="295">
        <v>0.43</v>
      </c>
      <c r="J7" s="295">
        <v>3.64</v>
      </c>
      <c r="K7" s="298">
        <v>10.64</v>
      </c>
      <c r="L7" s="372"/>
      <c r="M7" s="377" t="str">
        <f t="shared" si="2"/>
        <v>AlsaceAutres</v>
      </c>
      <c r="N7" s="377" t="str">
        <f t="shared" si="3"/>
        <v>AlsaceAutresPrunier</v>
      </c>
      <c r="P7" s="316" t="s">
        <v>11</v>
      </c>
      <c r="Q7" s="317" t="s">
        <v>178</v>
      </c>
      <c r="R7" s="317" t="s">
        <v>170</v>
      </c>
      <c r="S7" s="295"/>
      <c r="T7" s="295"/>
      <c r="U7" s="295"/>
      <c r="V7" s="298"/>
    </row>
    <row r="8" spans="2:22" x14ac:dyDescent="0.25">
      <c r="B8" s="371" t="str">
        <f t="shared" si="0"/>
        <v>AlsaceCerisier</v>
      </c>
      <c r="C8" s="371" t="str">
        <f t="shared" si="1"/>
        <v>AlsaceCerisierCerisier</v>
      </c>
      <c r="E8" s="305" t="s">
        <v>11</v>
      </c>
      <c r="F8" s="306" t="s">
        <v>140</v>
      </c>
      <c r="G8" s="306" t="s">
        <v>140</v>
      </c>
      <c r="H8" s="295">
        <v>0</v>
      </c>
      <c r="I8" s="295">
        <v>0.46</v>
      </c>
      <c r="J8" s="295">
        <v>3.86</v>
      </c>
      <c r="K8" s="298">
        <v>8.0299999999999994</v>
      </c>
      <c r="L8" s="372"/>
      <c r="M8" s="377" t="str">
        <f t="shared" si="2"/>
        <v>AlsaceCerisier</v>
      </c>
      <c r="N8" s="377" t="str">
        <f t="shared" si="3"/>
        <v>AlsaceCerisierCerisier</v>
      </c>
      <c r="P8" s="316" t="s">
        <v>11</v>
      </c>
      <c r="Q8" s="317" t="s">
        <v>140</v>
      </c>
      <c r="R8" s="317" t="s">
        <v>140</v>
      </c>
      <c r="S8" s="295"/>
      <c r="T8" s="295"/>
      <c r="U8" s="295"/>
      <c r="V8" s="298"/>
    </row>
    <row r="9" spans="2:22" x14ac:dyDescent="0.25">
      <c r="B9" s="371" t="str">
        <f t="shared" si="0"/>
        <v>AlsaceMirabellier</v>
      </c>
      <c r="C9" s="371" t="str">
        <f t="shared" si="1"/>
        <v>AlsaceMirabellierAutres</v>
      </c>
      <c r="E9" s="305" t="s">
        <v>11</v>
      </c>
      <c r="F9" s="306" t="s">
        <v>153</v>
      </c>
      <c r="G9" s="306" t="s">
        <v>178</v>
      </c>
      <c r="H9" s="295">
        <v>0</v>
      </c>
      <c r="I9" s="295">
        <v>0.43</v>
      </c>
      <c r="J9" s="295">
        <v>3.64</v>
      </c>
      <c r="K9" s="298">
        <v>10.64</v>
      </c>
      <c r="L9" s="372"/>
      <c r="M9" s="377" t="str">
        <f t="shared" si="2"/>
        <v>AlsaceMirabellier</v>
      </c>
      <c r="N9" s="377" t="str">
        <f t="shared" si="3"/>
        <v>AlsaceMirabellierAutres</v>
      </c>
      <c r="P9" s="316" t="s">
        <v>11</v>
      </c>
      <c r="Q9" s="317" t="s">
        <v>153</v>
      </c>
      <c r="R9" s="317" t="s">
        <v>178</v>
      </c>
      <c r="S9" s="295"/>
      <c r="T9" s="295"/>
      <c r="U9" s="295"/>
      <c r="V9" s="298"/>
    </row>
    <row r="10" spans="2:22" x14ac:dyDescent="0.25">
      <c r="B10" s="371" t="str">
        <f t="shared" si="0"/>
        <v>AlsaceNectarinier</v>
      </c>
      <c r="C10" s="371" t="str">
        <f t="shared" si="1"/>
        <v>AlsaceNectarinierNectarinier-Pêcher</v>
      </c>
      <c r="E10" s="305" t="s">
        <v>11</v>
      </c>
      <c r="F10" s="306" t="s">
        <v>159</v>
      </c>
      <c r="G10" s="306" t="s">
        <v>647</v>
      </c>
      <c r="H10" s="295">
        <v>0.03</v>
      </c>
      <c r="I10" s="295">
        <v>0.84</v>
      </c>
      <c r="J10" s="295">
        <v>9.25</v>
      </c>
      <c r="K10" s="298">
        <v>19.38</v>
      </c>
      <c r="L10" s="372"/>
      <c r="M10" s="377" t="str">
        <f t="shared" si="2"/>
        <v>AlsaceNectarinier</v>
      </c>
      <c r="N10" s="377" t="str">
        <f t="shared" si="3"/>
        <v>AlsaceNectarinierNectarinier-Pêcher</v>
      </c>
      <c r="P10" s="316" t="s">
        <v>11</v>
      </c>
      <c r="Q10" s="317" t="s">
        <v>159</v>
      </c>
      <c r="R10" s="317" t="s">
        <v>647</v>
      </c>
      <c r="S10" s="295"/>
      <c r="T10" s="295"/>
      <c r="U10" s="295"/>
      <c r="V10" s="298"/>
    </row>
    <row r="11" spans="2:22" x14ac:dyDescent="0.25">
      <c r="B11" s="371" t="str">
        <f t="shared" si="0"/>
        <v>AlsaceNoyer</v>
      </c>
      <c r="C11" s="371" t="str">
        <f t="shared" si="1"/>
        <v>AlsaceNoyerAutres</v>
      </c>
      <c r="E11" s="305" t="s">
        <v>11</v>
      </c>
      <c r="F11" s="306" t="s">
        <v>162</v>
      </c>
      <c r="G11" s="306" t="s">
        <v>178</v>
      </c>
      <c r="H11" s="295">
        <v>0</v>
      </c>
      <c r="I11" s="295">
        <v>0.43</v>
      </c>
      <c r="J11" s="295">
        <v>3.64</v>
      </c>
      <c r="K11" s="298">
        <v>10.64</v>
      </c>
      <c r="L11" s="372"/>
      <c r="M11" s="377" t="str">
        <f t="shared" si="2"/>
        <v>AlsaceNoyer</v>
      </c>
      <c r="N11" s="377" t="str">
        <f t="shared" si="3"/>
        <v>AlsaceNoyerAutres</v>
      </c>
      <c r="P11" s="316" t="s">
        <v>11</v>
      </c>
      <c r="Q11" s="317" t="s">
        <v>162</v>
      </c>
      <c r="R11" s="317" t="s">
        <v>178</v>
      </c>
      <c r="S11" s="295"/>
      <c r="T11" s="295"/>
      <c r="U11" s="295"/>
      <c r="V11" s="298"/>
    </row>
    <row r="12" spans="2:22" x14ac:dyDescent="0.25">
      <c r="B12" s="371" t="str">
        <f t="shared" si="0"/>
        <v>AlsacePêcher</v>
      </c>
      <c r="C12" s="371" t="str">
        <f t="shared" si="1"/>
        <v>AlsacePêcherNectarinier-Pêcher</v>
      </c>
      <c r="E12" s="305" t="s">
        <v>11</v>
      </c>
      <c r="F12" s="306" t="s">
        <v>166</v>
      </c>
      <c r="G12" s="306" t="s">
        <v>647</v>
      </c>
      <c r="H12" s="295">
        <v>0.03</v>
      </c>
      <c r="I12" s="295">
        <v>0.84</v>
      </c>
      <c r="J12" s="295">
        <v>9.25</v>
      </c>
      <c r="K12" s="298">
        <v>19.38</v>
      </c>
      <c r="L12" s="372"/>
      <c r="M12" s="377" t="str">
        <f t="shared" si="2"/>
        <v>AlsacePêcher</v>
      </c>
      <c r="N12" s="377" t="str">
        <f t="shared" si="3"/>
        <v>AlsacePêcherNectarinier-Pêcher</v>
      </c>
      <c r="P12" s="316" t="s">
        <v>11</v>
      </c>
      <c r="Q12" s="317" t="s">
        <v>166</v>
      </c>
      <c r="R12" s="317" t="s">
        <v>647</v>
      </c>
      <c r="S12" s="295"/>
      <c r="T12" s="295"/>
      <c r="U12" s="295"/>
      <c r="V12" s="298"/>
    </row>
    <row r="13" spans="2:22" x14ac:dyDescent="0.25">
      <c r="B13" s="371" t="str">
        <f t="shared" si="0"/>
        <v>AlsacePoirier</v>
      </c>
      <c r="C13" s="371" t="str">
        <f t="shared" si="1"/>
        <v>AlsacePoirierAutres</v>
      </c>
      <c r="E13" s="305" t="s">
        <v>11</v>
      </c>
      <c r="F13" s="306" t="s">
        <v>167</v>
      </c>
      <c r="G13" s="306" t="s">
        <v>178</v>
      </c>
      <c r="H13" s="295">
        <v>0</v>
      </c>
      <c r="I13" s="295">
        <v>0.43</v>
      </c>
      <c r="J13" s="295">
        <v>3.64</v>
      </c>
      <c r="K13" s="298">
        <v>10.64</v>
      </c>
      <c r="L13" s="372"/>
      <c r="M13" s="377" t="str">
        <f t="shared" si="2"/>
        <v>AlsacePoirier</v>
      </c>
      <c r="N13" s="377" t="str">
        <f t="shared" si="3"/>
        <v>AlsacePoirierAutres</v>
      </c>
      <c r="P13" s="316" t="s">
        <v>11</v>
      </c>
      <c r="Q13" s="317" t="s">
        <v>167</v>
      </c>
      <c r="R13" s="317" t="s">
        <v>178</v>
      </c>
      <c r="S13" s="295"/>
      <c r="T13" s="295"/>
      <c r="U13" s="295"/>
      <c r="V13" s="298"/>
    </row>
    <row r="14" spans="2:22" x14ac:dyDescent="0.25">
      <c r="B14" s="371" t="str">
        <f t="shared" si="0"/>
        <v>AlsacePommier</v>
      </c>
      <c r="C14" s="371" t="str">
        <f t="shared" si="1"/>
        <v>AlsacePommierPommier</v>
      </c>
      <c r="E14" s="305" t="s">
        <v>11</v>
      </c>
      <c r="F14" s="306" t="s">
        <v>169</v>
      </c>
      <c r="G14" s="306" t="s">
        <v>169</v>
      </c>
      <c r="H14" s="295">
        <v>0</v>
      </c>
      <c r="I14" s="295">
        <v>1.1100000000000001</v>
      </c>
      <c r="J14" s="295">
        <v>5.92</v>
      </c>
      <c r="K14" s="298">
        <v>24.76</v>
      </c>
      <c r="L14" s="372"/>
      <c r="M14" s="377" t="str">
        <f t="shared" si="2"/>
        <v>AlsacePommier</v>
      </c>
      <c r="N14" s="377" t="str">
        <f t="shared" si="3"/>
        <v>AlsacePommierPommier</v>
      </c>
      <c r="P14" s="316" t="s">
        <v>11</v>
      </c>
      <c r="Q14" s="317" t="s">
        <v>169</v>
      </c>
      <c r="R14" s="317" t="s">
        <v>169</v>
      </c>
      <c r="S14" s="295"/>
      <c r="T14" s="295"/>
      <c r="U14" s="295"/>
      <c r="V14" s="298"/>
    </row>
    <row r="15" spans="2:22" ht="15.75" thickBot="1" x14ac:dyDescent="0.3">
      <c r="B15" s="371" t="str">
        <f t="shared" si="0"/>
        <v>AlsacePrunier</v>
      </c>
      <c r="C15" s="371" t="str">
        <f t="shared" si="1"/>
        <v>AlsacePrunierPrunier</v>
      </c>
      <c r="E15" s="307" t="s">
        <v>11</v>
      </c>
      <c r="F15" s="308" t="s">
        <v>170</v>
      </c>
      <c r="G15" s="308" t="s">
        <v>170</v>
      </c>
      <c r="H15" s="297">
        <v>0</v>
      </c>
      <c r="I15" s="297">
        <v>0.43</v>
      </c>
      <c r="J15" s="297">
        <v>3.64</v>
      </c>
      <c r="K15" s="299">
        <v>10.64</v>
      </c>
      <c r="L15" s="372"/>
      <c r="M15" s="377" t="str">
        <f t="shared" si="2"/>
        <v>AlsacePrunier</v>
      </c>
      <c r="N15" s="377" t="str">
        <f t="shared" si="3"/>
        <v>AlsacePrunierPrunier</v>
      </c>
      <c r="P15" s="318" t="s">
        <v>11</v>
      </c>
      <c r="Q15" s="319" t="s">
        <v>170</v>
      </c>
      <c r="R15" s="319" t="s">
        <v>170</v>
      </c>
      <c r="S15" s="297"/>
      <c r="T15" s="297"/>
      <c r="U15" s="297"/>
      <c r="V15" s="299"/>
    </row>
    <row r="16" spans="2:22" ht="15.75" thickTop="1" x14ac:dyDescent="0.25">
      <c r="B16" s="371" t="str">
        <f t="shared" si="0"/>
        <v>AquitaineAbricotier</v>
      </c>
      <c r="C16" s="371" t="str">
        <f t="shared" si="1"/>
        <v>AquitaineAbricotierAbricotier</v>
      </c>
      <c r="E16" s="303" t="s">
        <v>12</v>
      </c>
      <c r="F16" s="304" t="s">
        <v>135</v>
      </c>
      <c r="G16" s="304" t="s">
        <v>135</v>
      </c>
      <c r="H16" s="296">
        <v>0.01</v>
      </c>
      <c r="I16" s="296">
        <v>0.62</v>
      </c>
      <c r="J16" s="296">
        <v>5.1100000000000003</v>
      </c>
      <c r="K16" s="300">
        <v>10.66</v>
      </c>
      <c r="L16" s="372"/>
      <c r="M16" s="377" t="str">
        <f t="shared" si="2"/>
        <v>AquitaineAbricotier</v>
      </c>
      <c r="N16" s="377" t="str">
        <f t="shared" si="3"/>
        <v>AquitaineAbricotierAbricotier</v>
      </c>
      <c r="P16" s="314" t="s">
        <v>12</v>
      </c>
      <c r="Q16" s="315" t="s">
        <v>135</v>
      </c>
      <c r="R16" s="315" t="s">
        <v>135</v>
      </c>
      <c r="S16" s="296"/>
      <c r="T16" s="296"/>
      <c r="U16" s="296"/>
      <c r="V16" s="300"/>
    </row>
    <row r="17" spans="2:22" x14ac:dyDescent="0.25">
      <c r="B17" s="371" t="str">
        <f t="shared" si="0"/>
        <v>AquitaineAgrumes</v>
      </c>
      <c r="C17" s="371" t="str">
        <f t="shared" si="1"/>
        <v>AquitaineAgrumesClémentinier</v>
      </c>
      <c r="E17" s="305" t="s">
        <v>12</v>
      </c>
      <c r="F17" s="306" t="s">
        <v>646</v>
      </c>
      <c r="G17" s="306" t="s">
        <v>143</v>
      </c>
      <c r="H17" s="295">
        <v>0</v>
      </c>
      <c r="I17" s="295">
        <v>0.3</v>
      </c>
      <c r="J17" s="295">
        <v>2</v>
      </c>
      <c r="K17" s="298">
        <v>5</v>
      </c>
      <c r="L17" s="372"/>
      <c r="M17" s="377" t="str">
        <f t="shared" si="2"/>
        <v>AquitaineAgrumes</v>
      </c>
      <c r="N17" s="377" t="str">
        <f t="shared" si="3"/>
        <v>AquitaineAgrumesClémentinier</v>
      </c>
      <c r="P17" s="316" t="s">
        <v>12</v>
      </c>
      <c r="Q17" s="317" t="s">
        <v>646</v>
      </c>
      <c r="R17" s="317" t="s">
        <v>143</v>
      </c>
      <c r="S17" s="295"/>
      <c r="T17" s="295"/>
      <c r="U17" s="295"/>
      <c r="V17" s="298"/>
    </row>
    <row r="18" spans="2:22" x14ac:dyDescent="0.25">
      <c r="B18" s="371" t="str">
        <f t="shared" si="0"/>
        <v>AquitaineAutres</v>
      </c>
      <c r="C18" s="371" t="str">
        <f t="shared" si="1"/>
        <v>AquitaineAutresPrunier</v>
      </c>
      <c r="E18" s="305" t="s">
        <v>12</v>
      </c>
      <c r="F18" s="306" t="s">
        <v>178</v>
      </c>
      <c r="G18" s="306" t="s">
        <v>170</v>
      </c>
      <c r="H18" s="295">
        <v>0.04</v>
      </c>
      <c r="I18" s="295">
        <v>0.28999999999999998</v>
      </c>
      <c r="J18" s="295">
        <v>5.44</v>
      </c>
      <c r="K18" s="298">
        <v>9.0500000000000007</v>
      </c>
      <c r="L18" s="372"/>
      <c r="M18" s="377" t="str">
        <f t="shared" si="2"/>
        <v>AquitaineAutres</v>
      </c>
      <c r="N18" s="377" t="str">
        <f t="shared" si="3"/>
        <v>AquitaineAutresPrunier</v>
      </c>
      <c r="P18" s="316" t="s">
        <v>12</v>
      </c>
      <c r="Q18" s="317" t="s">
        <v>178</v>
      </c>
      <c r="R18" s="317" t="s">
        <v>170</v>
      </c>
      <c r="S18" s="295"/>
      <c r="T18" s="295"/>
      <c r="U18" s="295"/>
      <c r="V18" s="298"/>
    </row>
    <row r="19" spans="2:22" x14ac:dyDescent="0.25">
      <c r="B19" s="371" t="str">
        <f t="shared" si="0"/>
        <v>AquitaineCerisier</v>
      </c>
      <c r="C19" s="371" t="str">
        <f t="shared" si="1"/>
        <v>AquitaineCerisierCerisier</v>
      </c>
      <c r="E19" s="305" t="s">
        <v>12</v>
      </c>
      <c r="F19" s="306" t="s">
        <v>140</v>
      </c>
      <c r="G19" s="306" t="s">
        <v>140</v>
      </c>
      <c r="H19" s="295">
        <v>0</v>
      </c>
      <c r="I19" s="295">
        <v>0.26</v>
      </c>
      <c r="J19" s="295">
        <v>2.31</v>
      </c>
      <c r="K19" s="298">
        <v>10.67</v>
      </c>
      <c r="L19" s="372"/>
      <c r="M19" s="377" t="str">
        <f t="shared" si="2"/>
        <v>AquitaineCerisier</v>
      </c>
      <c r="N19" s="377" t="str">
        <f t="shared" si="3"/>
        <v>AquitaineCerisierCerisier</v>
      </c>
      <c r="P19" s="316" t="s">
        <v>12</v>
      </c>
      <c r="Q19" s="317" t="s">
        <v>140</v>
      </c>
      <c r="R19" s="317" t="s">
        <v>140</v>
      </c>
      <c r="S19" s="295"/>
      <c r="T19" s="295"/>
      <c r="U19" s="295"/>
      <c r="V19" s="298"/>
    </row>
    <row r="20" spans="2:22" x14ac:dyDescent="0.25">
      <c r="B20" s="371" t="str">
        <f t="shared" si="0"/>
        <v>AquitaineMirabellier</v>
      </c>
      <c r="C20" s="371" t="str">
        <f t="shared" si="1"/>
        <v>AquitaineMirabellierAutres</v>
      </c>
      <c r="E20" s="305" t="s">
        <v>12</v>
      </c>
      <c r="F20" s="306" t="s">
        <v>153</v>
      </c>
      <c r="G20" s="306" t="s">
        <v>178</v>
      </c>
      <c r="H20" s="295">
        <v>0.04</v>
      </c>
      <c r="I20" s="295">
        <v>0.28999999999999998</v>
      </c>
      <c r="J20" s="295">
        <v>5.44</v>
      </c>
      <c r="K20" s="298">
        <v>9.0500000000000007</v>
      </c>
      <c r="L20" s="372"/>
      <c r="M20" s="377" t="str">
        <f t="shared" si="2"/>
        <v>AquitaineMirabellier</v>
      </c>
      <c r="N20" s="377" t="str">
        <f t="shared" si="3"/>
        <v>AquitaineMirabellierAutres</v>
      </c>
      <c r="P20" s="316" t="s">
        <v>12</v>
      </c>
      <c r="Q20" s="317" t="s">
        <v>153</v>
      </c>
      <c r="R20" s="317" t="s">
        <v>178</v>
      </c>
      <c r="S20" s="295"/>
      <c r="T20" s="295"/>
      <c r="U20" s="295"/>
      <c r="V20" s="298"/>
    </row>
    <row r="21" spans="2:22" x14ac:dyDescent="0.25">
      <c r="B21" s="371" t="str">
        <f t="shared" si="0"/>
        <v>AquitaineNectarinier</v>
      </c>
      <c r="C21" s="371" t="str">
        <f t="shared" si="1"/>
        <v>AquitaineNectarinierNectarinier-Pêcher</v>
      </c>
      <c r="E21" s="305" t="s">
        <v>12</v>
      </c>
      <c r="F21" s="306" t="s">
        <v>159</v>
      </c>
      <c r="G21" s="306" t="s">
        <v>647</v>
      </c>
      <c r="H21" s="295">
        <v>0.06</v>
      </c>
      <c r="I21" s="295">
        <v>0.33</v>
      </c>
      <c r="J21" s="295">
        <v>7.23</v>
      </c>
      <c r="K21" s="298">
        <v>15.63</v>
      </c>
      <c r="L21" s="372"/>
      <c r="M21" s="377" t="str">
        <f t="shared" si="2"/>
        <v>AquitaineNectarinier</v>
      </c>
      <c r="N21" s="377" t="str">
        <f t="shared" si="3"/>
        <v>AquitaineNectarinierNectarinier-Pêcher</v>
      </c>
      <c r="P21" s="316" t="s">
        <v>12</v>
      </c>
      <c r="Q21" s="317" t="s">
        <v>159</v>
      </c>
      <c r="R21" s="317" t="s">
        <v>647</v>
      </c>
      <c r="S21" s="295"/>
      <c r="T21" s="295"/>
      <c r="U21" s="295"/>
      <c r="V21" s="298"/>
    </row>
    <row r="22" spans="2:22" x14ac:dyDescent="0.25">
      <c r="B22" s="371" t="str">
        <f t="shared" si="0"/>
        <v>AquitaineNoyer</v>
      </c>
      <c r="C22" s="371" t="str">
        <f t="shared" si="1"/>
        <v>AquitaineNoyerAutres</v>
      </c>
      <c r="E22" s="305" t="s">
        <v>12</v>
      </c>
      <c r="F22" s="306" t="s">
        <v>162</v>
      </c>
      <c r="G22" s="306" t="s">
        <v>178</v>
      </c>
      <c r="H22" s="295">
        <v>0.04</v>
      </c>
      <c r="I22" s="295">
        <v>0.28999999999999998</v>
      </c>
      <c r="J22" s="295">
        <v>5.44</v>
      </c>
      <c r="K22" s="298">
        <v>9.0500000000000007</v>
      </c>
      <c r="L22" s="372"/>
      <c r="M22" s="377" t="str">
        <f t="shared" si="2"/>
        <v>AquitaineNoyer</v>
      </c>
      <c r="N22" s="377" t="str">
        <f t="shared" si="3"/>
        <v>AquitaineNoyerAutres</v>
      </c>
      <c r="P22" s="316" t="s">
        <v>12</v>
      </c>
      <c r="Q22" s="317" t="s">
        <v>162</v>
      </c>
      <c r="R22" s="317" t="s">
        <v>178</v>
      </c>
      <c r="S22" s="295"/>
      <c r="T22" s="295"/>
      <c r="U22" s="295"/>
      <c r="V22" s="298"/>
    </row>
    <row r="23" spans="2:22" x14ac:dyDescent="0.25">
      <c r="B23" s="371" t="str">
        <f t="shared" si="0"/>
        <v>AquitainePêcher</v>
      </c>
      <c r="C23" s="371" t="str">
        <f t="shared" si="1"/>
        <v>AquitainePêcherNectarinier-Pêcher</v>
      </c>
      <c r="E23" s="305" t="s">
        <v>12</v>
      </c>
      <c r="F23" s="306" t="s">
        <v>166</v>
      </c>
      <c r="G23" s="306" t="s">
        <v>647</v>
      </c>
      <c r="H23" s="295">
        <v>0.06</v>
      </c>
      <c r="I23" s="295">
        <v>0.33</v>
      </c>
      <c r="J23" s="295">
        <v>7.23</v>
      </c>
      <c r="K23" s="298">
        <v>15.63</v>
      </c>
      <c r="L23" s="372"/>
      <c r="M23" s="377" t="str">
        <f t="shared" si="2"/>
        <v>AquitainePêcher</v>
      </c>
      <c r="N23" s="377" t="str">
        <f t="shared" si="3"/>
        <v>AquitainePêcherNectarinier-Pêcher</v>
      </c>
      <c r="P23" s="316" t="s">
        <v>12</v>
      </c>
      <c r="Q23" s="317" t="s">
        <v>166</v>
      </c>
      <c r="R23" s="317" t="s">
        <v>647</v>
      </c>
      <c r="S23" s="295"/>
      <c r="T23" s="295"/>
      <c r="U23" s="295"/>
      <c r="V23" s="298"/>
    </row>
    <row r="24" spans="2:22" x14ac:dyDescent="0.25">
      <c r="B24" s="371" t="str">
        <f t="shared" si="0"/>
        <v>AquitainePoirier</v>
      </c>
      <c r="C24" s="371" t="str">
        <f t="shared" si="1"/>
        <v>AquitainePoirierAutres</v>
      </c>
      <c r="E24" s="305" t="s">
        <v>12</v>
      </c>
      <c r="F24" s="306" t="s">
        <v>167</v>
      </c>
      <c r="G24" s="306" t="s">
        <v>178</v>
      </c>
      <c r="H24" s="295">
        <v>0.04</v>
      </c>
      <c r="I24" s="295">
        <v>0.28999999999999998</v>
      </c>
      <c r="J24" s="295">
        <v>5.44</v>
      </c>
      <c r="K24" s="298">
        <v>9.0500000000000007</v>
      </c>
      <c r="L24" s="372"/>
      <c r="M24" s="377" t="str">
        <f t="shared" si="2"/>
        <v>AquitainePoirier</v>
      </c>
      <c r="N24" s="377" t="str">
        <f t="shared" si="3"/>
        <v>AquitainePoirierAutres</v>
      </c>
      <c r="P24" s="316" t="s">
        <v>12</v>
      </c>
      <c r="Q24" s="317" t="s">
        <v>167</v>
      </c>
      <c r="R24" s="317" t="s">
        <v>178</v>
      </c>
      <c r="S24" s="295"/>
      <c r="T24" s="295"/>
      <c r="U24" s="295"/>
      <c r="V24" s="298"/>
    </row>
    <row r="25" spans="2:22" x14ac:dyDescent="0.25">
      <c r="B25" s="371" t="str">
        <f t="shared" si="0"/>
        <v>AquitainePommier</v>
      </c>
      <c r="C25" s="371" t="str">
        <f t="shared" si="1"/>
        <v>AquitainePommierPommier</v>
      </c>
      <c r="E25" s="305" t="s">
        <v>12</v>
      </c>
      <c r="F25" s="306" t="s">
        <v>169</v>
      </c>
      <c r="G25" s="306" t="s">
        <v>169</v>
      </c>
      <c r="H25" s="295">
        <v>0.03</v>
      </c>
      <c r="I25" s="295">
        <v>0.59</v>
      </c>
      <c r="J25" s="295">
        <v>17.690000000000001</v>
      </c>
      <c r="K25" s="298">
        <v>36.58</v>
      </c>
      <c r="L25" s="372"/>
      <c r="M25" s="377" t="str">
        <f t="shared" si="2"/>
        <v>AquitainePommier</v>
      </c>
      <c r="N25" s="377" t="str">
        <f t="shared" si="3"/>
        <v>AquitainePommierPommier</v>
      </c>
      <c r="P25" s="316" t="s">
        <v>12</v>
      </c>
      <c r="Q25" s="317" t="s">
        <v>169</v>
      </c>
      <c r="R25" s="317" t="s">
        <v>169</v>
      </c>
      <c r="S25" s="295"/>
      <c r="T25" s="295"/>
      <c r="U25" s="295"/>
      <c r="V25" s="298"/>
    </row>
    <row r="26" spans="2:22" ht="15.75" thickBot="1" x14ac:dyDescent="0.3">
      <c r="B26" s="371" t="str">
        <f t="shared" si="0"/>
        <v>AquitainePrunier</v>
      </c>
      <c r="C26" s="371" t="str">
        <f t="shared" si="1"/>
        <v>AquitainePrunierPrunier</v>
      </c>
      <c r="E26" s="307" t="s">
        <v>12</v>
      </c>
      <c r="F26" s="308" t="s">
        <v>170</v>
      </c>
      <c r="G26" s="308" t="s">
        <v>170</v>
      </c>
      <c r="H26" s="297">
        <v>0.04</v>
      </c>
      <c r="I26" s="297">
        <v>0.28999999999999998</v>
      </c>
      <c r="J26" s="297">
        <v>5.44</v>
      </c>
      <c r="K26" s="299">
        <v>9.0500000000000007</v>
      </c>
      <c r="L26" s="372"/>
      <c r="M26" s="377" t="str">
        <f t="shared" si="2"/>
        <v>AquitainePrunier</v>
      </c>
      <c r="N26" s="377" t="str">
        <f t="shared" si="3"/>
        <v>AquitainePrunierPrunier</v>
      </c>
      <c r="P26" s="318" t="s">
        <v>12</v>
      </c>
      <c r="Q26" s="319" t="s">
        <v>170</v>
      </c>
      <c r="R26" s="319" t="s">
        <v>170</v>
      </c>
      <c r="S26" s="297"/>
      <c r="T26" s="297"/>
      <c r="U26" s="297"/>
      <c r="V26" s="299"/>
    </row>
    <row r="27" spans="2:22" ht="15.75" thickTop="1" x14ac:dyDescent="0.25">
      <c r="B27" s="371" t="str">
        <f t="shared" si="0"/>
        <v>AuvergneAbricotier</v>
      </c>
      <c r="C27" s="371" t="str">
        <f t="shared" si="1"/>
        <v>AuvergneAbricotierAbricotier</v>
      </c>
      <c r="E27" s="303" t="s">
        <v>13</v>
      </c>
      <c r="F27" s="304" t="s">
        <v>135</v>
      </c>
      <c r="G27" s="304" t="s">
        <v>135</v>
      </c>
      <c r="H27" s="296">
        <v>0.01</v>
      </c>
      <c r="I27" s="296">
        <v>0.62</v>
      </c>
      <c r="J27" s="296">
        <v>5.1100000000000003</v>
      </c>
      <c r="K27" s="300">
        <v>10.66</v>
      </c>
      <c r="L27" s="372"/>
      <c r="M27" s="377" t="str">
        <f t="shared" si="2"/>
        <v>AuvergneAbricotier</v>
      </c>
      <c r="N27" s="377" t="str">
        <f t="shared" si="3"/>
        <v>AuvergneAbricotierAbricotier</v>
      </c>
      <c r="P27" s="314" t="s">
        <v>13</v>
      </c>
      <c r="Q27" s="315" t="s">
        <v>135</v>
      </c>
      <c r="R27" s="315" t="s">
        <v>135</v>
      </c>
      <c r="S27" s="296"/>
      <c r="T27" s="296"/>
      <c r="U27" s="296"/>
      <c r="V27" s="300"/>
    </row>
    <row r="28" spans="2:22" x14ac:dyDescent="0.25">
      <c r="B28" s="371" t="str">
        <f t="shared" si="0"/>
        <v>AuvergneAgrumes</v>
      </c>
      <c r="C28" s="371" t="str">
        <f t="shared" si="1"/>
        <v>AuvergneAgrumesClémentinier</v>
      </c>
      <c r="E28" s="305" t="s">
        <v>13</v>
      </c>
      <c r="F28" s="306" t="s">
        <v>646</v>
      </c>
      <c r="G28" s="306" t="s">
        <v>143</v>
      </c>
      <c r="H28" s="295">
        <v>0</v>
      </c>
      <c r="I28" s="295">
        <v>0.3</v>
      </c>
      <c r="J28" s="295">
        <v>2</v>
      </c>
      <c r="K28" s="298">
        <v>5</v>
      </c>
      <c r="L28" s="372"/>
      <c r="M28" s="377" t="str">
        <f t="shared" si="2"/>
        <v>AuvergneAgrumes</v>
      </c>
      <c r="N28" s="377" t="str">
        <f t="shared" si="3"/>
        <v>AuvergneAgrumesClémentinier</v>
      </c>
      <c r="P28" s="316" t="s">
        <v>13</v>
      </c>
      <c r="Q28" s="317" t="s">
        <v>646</v>
      </c>
      <c r="R28" s="317" t="s">
        <v>143</v>
      </c>
      <c r="S28" s="295"/>
      <c r="T28" s="295"/>
      <c r="U28" s="295"/>
      <c r="V28" s="298"/>
    </row>
    <row r="29" spans="2:22" x14ac:dyDescent="0.25">
      <c r="B29" s="371" t="str">
        <f t="shared" si="0"/>
        <v>AuvergneAutres</v>
      </c>
      <c r="C29" s="371" t="str">
        <f t="shared" si="1"/>
        <v>AuvergneAutresPrunier</v>
      </c>
      <c r="E29" s="305" t="s">
        <v>13</v>
      </c>
      <c r="F29" s="306" t="s">
        <v>178</v>
      </c>
      <c r="G29" s="306" t="s">
        <v>170</v>
      </c>
      <c r="H29" s="295">
        <v>0.01</v>
      </c>
      <c r="I29" s="295">
        <v>0.33</v>
      </c>
      <c r="J29" s="295">
        <v>5.14</v>
      </c>
      <c r="K29" s="298">
        <v>9.34</v>
      </c>
      <c r="L29" s="372"/>
      <c r="M29" s="377" t="str">
        <f t="shared" si="2"/>
        <v>AuvergneAutres</v>
      </c>
      <c r="N29" s="377" t="str">
        <f t="shared" si="3"/>
        <v>AuvergneAutresPrunier</v>
      </c>
      <c r="P29" s="316" t="s">
        <v>13</v>
      </c>
      <c r="Q29" s="317" t="s">
        <v>178</v>
      </c>
      <c r="R29" s="317" t="s">
        <v>170</v>
      </c>
      <c r="S29" s="295"/>
      <c r="T29" s="295"/>
      <c r="U29" s="295"/>
      <c r="V29" s="298"/>
    </row>
    <row r="30" spans="2:22" x14ac:dyDescent="0.25">
      <c r="B30" s="371" t="str">
        <f t="shared" si="0"/>
        <v>AuvergneCerisier</v>
      </c>
      <c r="C30" s="371" t="str">
        <f t="shared" si="1"/>
        <v>AuvergneCerisierCerisier</v>
      </c>
      <c r="E30" s="305" t="s">
        <v>13</v>
      </c>
      <c r="F30" s="306" t="s">
        <v>140</v>
      </c>
      <c r="G30" s="306" t="s">
        <v>140</v>
      </c>
      <c r="H30" s="295">
        <v>0</v>
      </c>
      <c r="I30" s="295">
        <v>0.36</v>
      </c>
      <c r="J30" s="295">
        <v>4.0599999999999996</v>
      </c>
      <c r="K30" s="298">
        <v>8.0299999999999994</v>
      </c>
      <c r="L30" s="372"/>
      <c r="M30" s="377" t="str">
        <f t="shared" si="2"/>
        <v>AuvergneCerisier</v>
      </c>
      <c r="N30" s="377" t="str">
        <f t="shared" si="3"/>
        <v>AuvergneCerisierCerisier</v>
      </c>
      <c r="P30" s="316" t="s">
        <v>13</v>
      </c>
      <c r="Q30" s="317" t="s">
        <v>140</v>
      </c>
      <c r="R30" s="317" t="s">
        <v>140</v>
      </c>
      <c r="S30" s="295"/>
      <c r="T30" s="295"/>
      <c r="U30" s="295"/>
      <c r="V30" s="298"/>
    </row>
    <row r="31" spans="2:22" x14ac:dyDescent="0.25">
      <c r="B31" s="371" t="str">
        <f t="shared" si="0"/>
        <v>AuvergneMirabellier</v>
      </c>
      <c r="C31" s="371" t="str">
        <f t="shared" si="1"/>
        <v>AuvergneMirabellierAutres</v>
      </c>
      <c r="E31" s="305" t="s">
        <v>13</v>
      </c>
      <c r="F31" s="306" t="s">
        <v>153</v>
      </c>
      <c r="G31" s="306" t="s">
        <v>178</v>
      </c>
      <c r="H31" s="295">
        <v>0.01</v>
      </c>
      <c r="I31" s="295">
        <v>0.33</v>
      </c>
      <c r="J31" s="295">
        <v>5.14</v>
      </c>
      <c r="K31" s="298">
        <v>9.34</v>
      </c>
      <c r="L31" s="372"/>
      <c r="M31" s="377" t="str">
        <f t="shared" si="2"/>
        <v>AuvergneMirabellier</v>
      </c>
      <c r="N31" s="377" t="str">
        <f t="shared" si="3"/>
        <v>AuvergneMirabellierAutres</v>
      </c>
      <c r="P31" s="316" t="s">
        <v>13</v>
      </c>
      <c r="Q31" s="317" t="s">
        <v>153</v>
      </c>
      <c r="R31" s="317" t="s">
        <v>178</v>
      </c>
      <c r="S31" s="295"/>
      <c r="T31" s="295"/>
      <c r="U31" s="295"/>
      <c r="V31" s="298"/>
    </row>
    <row r="32" spans="2:22" x14ac:dyDescent="0.25">
      <c r="B32" s="371" t="str">
        <f t="shared" si="0"/>
        <v>AuvergneNectarinier</v>
      </c>
      <c r="C32" s="371" t="str">
        <f t="shared" si="1"/>
        <v>AuvergneNectarinierNectarinier-Pêcher</v>
      </c>
      <c r="E32" s="305" t="s">
        <v>13</v>
      </c>
      <c r="F32" s="306" t="s">
        <v>159</v>
      </c>
      <c r="G32" s="306" t="s">
        <v>647</v>
      </c>
      <c r="H32" s="295">
        <v>0.03</v>
      </c>
      <c r="I32" s="295">
        <v>0.84</v>
      </c>
      <c r="J32" s="295">
        <v>9.25</v>
      </c>
      <c r="K32" s="298">
        <v>19.38</v>
      </c>
      <c r="L32" s="372"/>
      <c r="M32" s="377" t="str">
        <f t="shared" si="2"/>
        <v>AuvergneNectarinier</v>
      </c>
      <c r="N32" s="377" t="str">
        <f t="shared" si="3"/>
        <v>AuvergneNectarinierNectarinier-Pêcher</v>
      </c>
      <c r="P32" s="316" t="s">
        <v>13</v>
      </c>
      <c r="Q32" s="317" t="s">
        <v>159</v>
      </c>
      <c r="R32" s="317" t="s">
        <v>647</v>
      </c>
      <c r="S32" s="295"/>
      <c r="T32" s="295"/>
      <c r="U32" s="295"/>
      <c r="V32" s="298"/>
    </row>
    <row r="33" spans="2:22" x14ac:dyDescent="0.25">
      <c r="B33" s="371" t="str">
        <f t="shared" si="0"/>
        <v>AuvergneNoyer</v>
      </c>
      <c r="C33" s="371" t="str">
        <f t="shared" si="1"/>
        <v>AuvergneNoyerAutres</v>
      </c>
      <c r="E33" s="305" t="s">
        <v>13</v>
      </c>
      <c r="F33" s="306" t="s">
        <v>162</v>
      </c>
      <c r="G33" s="306" t="s">
        <v>178</v>
      </c>
      <c r="H33" s="295">
        <v>0.01</v>
      </c>
      <c r="I33" s="295">
        <v>0.33</v>
      </c>
      <c r="J33" s="295">
        <v>5.14</v>
      </c>
      <c r="K33" s="298">
        <v>9.34</v>
      </c>
      <c r="L33" s="372"/>
      <c r="M33" s="377" t="str">
        <f t="shared" si="2"/>
        <v>AuvergneNoyer</v>
      </c>
      <c r="N33" s="377" t="str">
        <f t="shared" si="3"/>
        <v>AuvergneNoyerAutres</v>
      </c>
      <c r="P33" s="316" t="s">
        <v>13</v>
      </c>
      <c r="Q33" s="317" t="s">
        <v>162</v>
      </c>
      <c r="R33" s="317" t="s">
        <v>178</v>
      </c>
      <c r="S33" s="295"/>
      <c r="T33" s="295"/>
      <c r="U33" s="295"/>
      <c r="V33" s="298"/>
    </row>
    <row r="34" spans="2:22" x14ac:dyDescent="0.25">
      <c r="B34" s="371" t="str">
        <f t="shared" si="0"/>
        <v>AuvergnePêcher</v>
      </c>
      <c r="C34" s="371" t="str">
        <f t="shared" si="1"/>
        <v>AuvergnePêcherNectarinier-Pêcher</v>
      </c>
      <c r="E34" s="305" t="s">
        <v>13</v>
      </c>
      <c r="F34" s="306" t="s">
        <v>166</v>
      </c>
      <c r="G34" s="306" t="s">
        <v>647</v>
      </c>
      <c r="H34" s="295">
        <v>0.03</v>
      </c>
      <c r="I34" s="295">
        <v>0.84</v>
      </c>
      <c r="J34" s="295">
        <v>9.25</v>
      </c>
      <c r="K34" s="298">
        <v>19.38</v>
      </c>
      <c r="L34" s="372"/>
      <c r="M34" s="377" t="str">
        <f t="shared" si="2"/>
        <v>AuvergnePêcher</v>
      </c>
      <c r="N34" s="377" t="str">
        <f t="shared" si="3"/>
        <v>AuvergnePêcherNectarinier-Pêcher</v>
      </c>
      <c r="P34" s="316" t="s">
        <v>13</v>
      </c>
      <c r="Q34" s="317" t="s">
        <v>166</v>
      </c>
      <c r="R34" s="317" t="s">
        <v>647</v>
      </c>
      <c r="S34" s="295"/>
      <c r="T34" s="295"/>
      <c r="U34" s="295"/>
      <c r="V34" s="298"/>
    </row>
    <row r="35" spans="2:22" x14ac:dyDescent="0.25">
      <c r="B35" s="371" t="str">
        <f t="shared" si="0"/>
        <v>AuvergnePoirier</v>
      </c>
      <c r="C35" s="371" t="str">
        <f t="shared" si="1"/>
        <v>AuvergnePoirierAutres</v>
      </c>
      <c r="E35" s="305" t="s">
        <v>13</v>
      </c>
      <c r="F35" s="306" t="s">
        <v>167</v>
      </c>
      <c r="G35" s="306" t="s">
        <v>178</v>
      </c>
      <c r="H35" s="295">
        <v>0.01</v>
      </c>
      <c r="I35" s="295">
        <v>0.33</v>
      </c>
      <c r="J35" s="295">
        <v>5.14</v>
      </c>
      <c r="K35" s="298">
        <v>9.34</v>
      </c>
      <c r="L35" s="372"/>
      <c r="M35" s="377" t="str">
        <f t="shared" si="2"/>
        <v>AuvergnePoirier</v>
      </c>
      <c r="N35" s="377" t="str">
        <f t="shared" si="3"/>
        <v>AuvergnePoirierAutres</v>
      </c>
      <c r="P35" s="316" t="s">
        <v>13</v>
      </c>
      <c r="Q35" s="317" t="s">
        <v>167</v>
      </c>
      <c r="R35" s="317" t="s">
        <v>178</v>
      </c>
      <c r="S35" s="295"/>
      <c r="T35" s="295"/>
      <c r="U35" s="295"/>
      <c r="V35" s="298"/>
    </row>
    <row r="36" spans="2:22" x14ac:dyDescent="0.25">
      <c r="B36" s="371" t="str">
        <f t="shared" si="0"/>
        <v>AuvergnePommier</v>
      </c>
      <c r="C36" s="371" t="str">
        <f t="shared" si="1"/>
        <v>AuvergnePommierPommier</v>
      </c>
      <c r="E36" s="305" t="s">
        <v>13</v>
      </c>
      <c r="F36" s="306" t="s">
        <v>169</v>
      </c>
      <c r="G36" s="306" t="s">
        <v>169</v>
      </c>
      <c r="H36" s="295">
        <v>0.03</v>
      </c>
      <c r="I36" s="295">
        <v>0.84</v>
      </c>
      <c r="J36" s="295">
        <v>9.25</v>
      </c>
      <c r="K36" s="298">
        <v>19.38</v>
      </c>
      <c r="L36" s="372"/>
      <c r="M36" s="377" t="str">
        <f t="shared" si="2"/>
        <v>AuvergnePommier</v>
      </c>
      <c r="N36" s="377" t="str">
        <f t="shared" si="3"/>
        <v>AuvergnePommierPommier</v>
      </c>
      <c r="P36" s="316" t="s">
        <v>13</v>
      </c>
      <c r="Q36" s="317" t="s">
        <v>169</v>
      </c>
      <c r="R36" s="317" t="s">
        <v>169</v>
      </c>
      <c r="S36" s="295"/>
      <c r="T36" s="295"/>
      <c r="U36" s="295"/>
      <c r="V36" s="298"/>
    </row>
    <row r="37" spans="2:22" ht="15.75" thickBot="1" x14ac:dyDescent="0.3">
      <c r="B37" s="371" t="str">
        <f t="shared" si="0"/>
        <v>AuvergnePrunier</v>
      </c>
      <c r="C37" s="371" t="str">
        <f t="shared" si="1"/>
        <v>AuvergnePrunierAutres</v>
      </c>
      <c r="E37" s="307" t="s">
        <v>13</v>
      </c>
      <c r="F37" s="308" t="s">
        <v>170</v>
      </c>
      <c r="G37" s="308" t="s">
        <v>178</v>
      </c>
      <c r="H37" s="297">
        <v>0.01</v>
      </c>
      <c r="I37" s="297">
        <v>0.33</v>
      </c>
      <c r="J37" s="297">
        <v>5.14</v>
      </c>
      <c r="K37" s="299">
        <v>9.34</v>
      </c>
      <c r="L37" s="372"/>
      <c r="M37" s="377" t="str">
        <f t="shared" si="2"/>
        <v>AuvergnePrunier</v>
      </c>
      <c r="N37" s="377" t="str">
        <f t="shared" si="3"/>
        <v>AuvergnePrunierAutres</v>
      </c>
      <c r="P37" s="318" t="s">
        <v>13</v>
      </c>
      <c r="Q37" s="319" t="s">
        <v>170</v>
      </c>
      <c r="R37" s="319" t="s">
        <v>178</v>
      </c>
      <c r="S37" s="297"/>
      <c r="T37" s="297"/>
      <c r="U37" s="297"/>
      <c r="V37" s="299"/>
    </row>
    <row r="38" spans="2:22" ht="15.75" thickTop="1" x14ac:dyDescent="0.25">
      <c r="B38" s="371" t="str">
        <f t="shared" si="0"/>
        <v>Basse-NormandieAbricotier</v>
      </c>
      <c r="C38" s="371" t="str">
        <f t="shared" si="1"/>
        <v>Basse-NormandieAbricotierAbricotier</v>
      </c>
      <c r="E38" s="303" t="s">
        <v>14</v>
      </c>
      <c r="F38" s="304" t="s">
        <v>135</v>
      </c>
      <c r="G38" s="304" t="s">
        <v>135</v>
      </c>
      <c r="H38" s="296">
        <v>0.01</v>
      </c>
      <c r="I38" s="296">
        <v>0.62</v>
      </c>
      <c r="J38" s="296">
        <v>5.1100000000000003</v>
      </c>
      <c r="K38" s="300">
        <v>10.66</v>
      </c>
      <c r="L38" s="372"/>
      <c r="M38" s="377" t="str">
        <f t="shared" si="2"/>
        <v>Basse-NormandieAbricotier</v>
      </c>
      <c r="N38" s="377" t="str">
        <f t="shared" si="3"/>
        <v>Basse-NormandieAbricotierAbricotier</v>
      </c>
      <c r="P38" s="314" t="s">
        <v>14</v>
      </c>
      <c r="Q38" s="315" t="s">
        <v>135</v>
      </c>
      <c r="R38" s="315" t="s">
        <v>135</v>
      </c>
      <c r="S38" s="296"/>
      <c r="T38" s="296"/>
      <c r="U38" s="296"/>
      <c r="V38" s="300"/>
    </row>
    <row r="39" spans="2:22" x14ac:dyDescent="0.25">
      <c r="B39" s="371" t="str">
        <f t="shared" si="0"/>
        <v>Basse-NormandieAgrumes</v>
      </c>
      <c r="C39" s="371" t="str">
        <f t="shared" si="1"/>
        <v>Basse-NormandieAgrumesClémentinier</v>
      </c>
      <c r="E39" s="305" t="s">
        <v>14</v>
      </c>
      <c r="F39" s="306" t="s">
        <v>646</v>
      </c>
      <c r="G39" s="306" t="s">
        <v>143</v>
      </c>
      <c r="H39" s="295">
        <v>0</v>
      </c>
      <c r="I39" s="295">
        <v>0.3</v>
      </c>
      <c r="J39" s="295">
        <v>2</v>
      </c>
      <c r="K39" s="298">
        <v>5</v>
      </c>
      <c r="L39" s="372"/>
      <c r="M39" s="377" t="str">
        <f t="shared" si="2"/>
        <v>Basse-NormandieAgrumes</v>
      </c>
      <c r="N39" s="377" t="str">
        <f t="shared" si="3"/>
        <v>Basse-NormandieAgrumesClémentinier</v>
      </c>
      <c r="P39" s="316" t="s">
        <v>14</v>
      </c>
      <c r="Q39" s="317" t="s">
        <v>646</v>
      </c>
      <c r="R39" s="317" t="s">
        <v>143</v>
      </c>
      <c r="S39" s="295"/>
      <c r="T39" s="295"/>
      <c r="U39" s="295"/>
      <c r="V39" s="298"/>
    </row>
    <row r="40" spans="2:22" x14ac:dyDescent="0.25">
      <c r="B40" s="371" t="str">
        <f t="shared" si="0"/>
        <v>Basse-NormandieAutres</v>
      </c>
      <c r="C40" s="371" t="str">
        <f t="shared" si="1"/>
        <v>Basse-NormandieAutresPrunier</v>
      </c>
      <c r="E40" s="305" t="s">
        <v>14</v>
      </c>
      <c r="F40" s="306" t="s">
        <v>178</v>
      </c>
      <c r="G40" s="306" t="s">
        <v>170</v>
      </c>
      <c r="H40" s="295">
        <v>0.01</v>
      </c>
      <c r="I40" s="295">
        <v>0.33</v>
      </c>
      <c r="J40" s="295">
        <v>5.14</v>
      </c>
      <c r="K40" s="298">
        <v>9.34</v>
      </c>
      <c r="L40" s="372"/>
      <c r="M40" s="377" t="str">
        <f t="shared" si="2"/>
        <v>Basse-NormandieAutres</v>
      </c>
      <c r="N40" s="377" t="str">
        <f t="shared" si="3"/>
        <v>Basse-NormandieAutresPrunier</v>
      </c>
      <c r="P40" s="316" t="s">
        <v>14</v>
      </c>
      <c r="Q40" s="317" t="s">
        <v>178</v>
      </c>
      <c r="R40" s="317" t="s">
        <v>170</v>
      </c>
      <c r="S40" s="295"/>
      <c r="T40" s="295"/>
      <c r="U40" s="295"/>
      <c r="V40" s="298"/>
    </row>
    <row r="41" spans="2:22" x14ac:dyDescent="0.25">
      <c r="B41" s="371" t="str">
        <f t="shared" si="0"/>
        <v>Basse-NormandieCerisier</v>
      </c>
      <c r="C41" s="371" t="str">
        <f t="shared" si="1"/>
        <v>Basse-NormandieCerisierCerisier</v>
      </c>
      <c r="E41" s="305" t="s">
        <v>14</v>
      </c>
      <c r="F41" s="306" t="s">
        <v>140</v>
      </c>
      <c r="G41" s="306" t="s">
        <v>140</v>
      </c>
      <c r="H41" s="295">
        <v>0</v>
      </c>
      <c r="I41" s="295">
        <v>0.36</v>
      </c>
      <c r="J41" s="295">
        <v>4.0599999999999996</v>
      </c>
      <c r="K41" s="298">
        <v>8.0299999999999994</v>
      </c>
      <c r="L41" s="372"/>
      <c r="M41" s="377" t="str">
        <f t="shared" si="2"/>
        <v>Basse-NormandieCerisier</v>
      </c>
      <c r="N41" s="377" t="str">
        <f t="shared" si="3"/>
        <v>Basse-NormandieCerisierCerisier</v>
      </c>
      <c r="P41" s="316" t="s">
        <v>14</v>
      </c>
      <c r="Q41" s="317" t="s">
        <v>140</v>
      </c>
      <c r="R41" s="317" t="s">
        <v>140</v>
      </c>
      <c r="S41" s="295"/>
      <c r="T41" s="295"/>
      <c r="U41" s="295"/>
      <c r="V41" s="298"/>
    </row>
    <row r="42" spans="2:22" x14ac:dyDescent="0.25">
      <c r="B42" s="371" t="str">
        <f t="shared" si="0"/>
        <v>Basse-NormandieMirabellier</v>
      </c>
      <c r="C42" s="371" t="str">
        <f t="shared" si="1"/>
        <v>Basse-NormandieMirabellierAutres</v>
      </c>
      <c r="E42" s="305" t="s">
        <v>14</v>
      </c>
      <c r="F42" s="306" t="s">
        <v>153</v>
      </c>
      <c r="G42" s="306" t="s">
        <v>178</v>
      </c>
      <c r="H42" s="295">
        <v>0.01</v>
      </c>
      <c r="I42" s="295">
        <v>0.33</v>
      </c>
      <c r="J42" s="295">
        <v>5.14</v>
      </c>
      <c r="K42" s="298">
        <v>9.34</v>
      </c>
      <c r="L42" s="372"/>
      <c r="M42" s="377" t="str">
        <f t="shared" si="2"/>
        <v>Basse-NormandieMirabellier</v>
      </c>
      <c r="N42" s="377" t="str">
        <f t="shared" si="3"/>
        <v>Basse-NormandieMirabellierAutres</v>
      </c>
      <c r="P42" s="316" t="s">
        <v>14</v>
      </c>
      <c r="Q42" s="317" t="s">
        <v>153</v>
      </c>
      <c r="R42" s="317" t="s">
        <v>178</v>
      </c>
      <c r="S42" s="295"/>
      <c r="T42" s="295"/>
      <c r="U42" s="295"/>
      <c r="V42" s="298"/>
    </row>
    <row r="43" spans="2:22" x14ac:dyDescent="0.25">
      <c r="B43" s="371" t="str">
        <f t="shared" si="0"/>
        <v>Basse-NormandieNectarinier</v>
      </c>
      <c r="C43" s="371" t="str">
        <f t="shared" si="1"/>
        <v>Basse-NormandieNectarinierNectarinier-Pêcher</v>
      </c>
      <c r="E43" s="305" t="s">
        <v>14</v>
      </c>
      <c r="F43" s="306" t="s">
        <v>159</v>
      </c>
      <c r="G43" s="306" t="s">
        <v>647</v>
      </c>
      <c r="H43" s="295">
        <v>0.03</v>
      </c>
      <c r="I43" s="295">
        <v>0.84</v>
      </c>
      <c r="J43" s="295">
        <v>9.25</v>
      </c>
      <c r="K43" s="298">
        <v>19.38</v>
      </c>
      <c r="L43" s="372"/>
      <c r="M43" s="377" t="str">
        <f t="shared" si="2"/>
        <v>Basse-NormandieNectarinier</v>
      </c>
      <c r="N43" s="377" t="str">
        <f t="shared" si="3"/>
        <v>Basse-NormandieNectarinierNectarinier-Pêcher</v>
      </c>
      <c r="P43" s="316" t="s">
        <v>14</v>
      </c>
      <c r="Q43" s="317" t="s">
        <v>159</v>
      </c>
      <c r="R43" s="317" t="s">
        <v>647</v>
      </c>
      <c r="S43" s="295"/>
      <c r="T43" s="295"/>
      <c r="U43" s="295"/>
      <c r="V43" s="298"/>
    </row>
    <row r="44" spans="2:22" x14ac:dyDescent="0.25">
      <c r="B44" s="371" t="str">
        <f t="shared" si="0"/>
        <v>Basse-NormandieNoyer</v>
      </c>
      <c r="C44" s="371" t="str">
        <f t="shared" si="1"/>
        <v>Basse-NormandieNoyerAutres</v>
      </c>
      <c r="E44" s="305" t="s">
        <v>14</v>
      </c>
      <c r="F44" s="306" t="s">
        <v>162</v>
      </c>
      <c r="G44" s="306" t="s">
        <v>178</v>
      </c>
      <c r="H44" s="295">
        <v>0.01</v>
      </c>
      <c r="I44" s="295">
        <v>0.33</v>
      </c>
      <c r="J44" s="295">
        <v>5.14</v>
      </c>
      <c r="K44" s="298">
        <v>9.34</v>
      </c>
      <c r="L44" s="372"/>
      <c r="M44" s="377" t="str">
        <f t="shared" si="2"/>
        <v>Basse-NormandieNoyer</v>
      </c>
      <c r="N44" s="377" t="str">
        <f t="shared" si="3"/>
        <v>Basse-NormandieNoyerAutres</v>
      </c>
      <c r="P44" s="316" t="s">
        <v>14</v>
      </c>
      <c r="Q44" s="317" t="s">
        <v>162</v>
      </c>
      <c r="R44" s="317" t="s">
        <v>178</v>
      </c>
      <c r="S44" s="295"/>
      <c r="T44" s="295"/>
      <c r="U44" s="295"/>
      <c r="V44" s="298"/>
    </row>
    <row r="45" spans="2:22" x14ac:dyDescent="0.25">
      <c r="B45" s="371" t="str">
        <f t="shared" si="0"/>
        <v>Basse-NormandiePêcher</v>
      </c>
      <c r="C45" s="371" t="str">
        <f t="shared" si="1"/>
        <v>Basse-NormandiePêcherNectarinier-Pêcher</v>
      </c>
      <c r="E45" s="305" t="s">
        <v>14</v>
      </c>
      <c r="F45" s="306" t="s">
        <v>166</v>
      </c>
      <c r="G45" s="306" t="s">
        <v>647</v>
      </c>
      <c r="H45" s="295">
        <v>0.03</v>
      </c>
      <c r="I45" s="295">
        <v>0.84</v>
      </c>
      <c r="J45" s="295">
        <v>9.25</v>
      </c>
      <c r="K45" s="298">
        <v>19.38</v>
      </c>
      <c r="L45" s="372"/>
      <c r="M45" s="377" t="str">
        <f t="shared" si="2"/>
        <v>Basse-NormandiePêcher</v>
      </c>
      <c r="N45" s="377" t="str">
        <f t="shared" si="3"/>
        <v>Basse-NormandiePêcherNectarinier-Pêcher</v>
      </c>
      <c r="P45" s="316" t="s">
        <v>14</v>
      </c>
      <c r="Q45" s="317" t="s">
        <v>166</v>
      </c>
      <c r="R45" s="317" t="s">
        <v>647</v>
      </c>
      <c r="S45" s="295"/>
      <c r="T45" s="295"/>
      <c r="U45" s="295"/>
      <c r="V45" s="298"/>
    </row>
    <row r="46" spans="2:22" x14ac:dyDescent="0.25">
      <c r="B46" s="371" t="str">
        <f t="shared" si="0"/>
        <v>Basse-NormandiePoirier</v>
      </c>
      <c r="C46" s="371" t="str">
        <f t="shared" si="1"/>
        <v>Basse-NormandiePoirierAutres</v>
      </c>
      <c r="E46" s="305" t="s">
        <v>14</v>
      </c>
      <c r="F46" s="306" t="s">
        <v>167</v>
      </c>
      <c r="G46" s="306" t="s">
        <v>178</v>
      </c>
      <c r="H46" s="295">
        <v>0.01</v>
      </c>
      <c r="I46" s="295">
        <v>0.33</v>
      </c>
      <c r="J46" s="295">
        <v>5.14</v>
      </c>
      <c r="K46" s="298">
        <v>9.34</v>
      </c>
      <c r="L46" s="372"/>
      <c r="M46" s="377" t="str">
        <f t="shared" si="2"/>
        <v>Basse-NormandiePoirier</v>
      </c>
      <c r="N46" s="377" t="str">
        <f t="shared" si="3"/>
        <v>Basse-NormandiePoirierAutres</v>
      </c>
      <c r="P46" s="316" t="s">
        <v>14</v>
      </c>
      <c r="Q46" s="317" t="s">
        <v>167</v>
      </c>
      <c r="R46" s="317" t="s">
        <v>178</v>
      </c>
      <c r="S46" s="295"/>
      <c r="T46" s="295"/>
      <c r="U46" s="295"/>
      <c r="V46" s="298"/>
    </row>
    <row r="47" spans="2:22" x14ac:dyDescent="0.25">
      <c r="B47" s="371" t="str">
        <f t="shared" si="0"/>
        <v>Basse-NormandiePommier</v>
      </c>
      <c r="C47" s="371" t="str">
        <f t="shared" si="1"/>
        <v>Basse-NormandiePommierPommier</v>
      </c>
      <c r="E47" s="305" t="s">
        <v>14</v>
      </c>
      <c r="F47" s="306" t="s">
        <v>169</v>
      </c>
      <c r="G47" s="306" t="s">
        <v>169</v>
      </c>
      <c r="H47" s="295">
        <v>0.03</v>
      </c>
      <c r="I47" s="295">
        <v>0.84</v>
      </c>
      <c r="J47" s="295">
        <v>9.25</v>
      </c>
      <c r="K47" s="298">
        <v>19.38</v>
      </c>
      <c r="L47" s="372"/>
      <c r="M47" s="377" t="str">
        <f t="shared" si="2"/>
        <v>Basse-NormandiePommier</v>
      </c>
      <c r="N47" s="377" t="str">
        <f t="shared" si="3"/>
        <v>Basse-NormandiePommierPommier</v>
      </c>
      <c r="P47" s="316" t="s">
        <v>14</v>
      </c>
      <c r="Q47" s="317" t="s">
        <v>169</v>
      </c>
      <c r="R47" s="317" t="s">
        <v>169</v>
      </c>
      <c r="S47" s="295"/>
      <c r="T47" s="295"/>
      <c r="U47" s="295"/>
      <c r="V47" s="298"/>
    </row>
    <row r="48" spans="2:22" ht="15.75" thickBot="1" x14ac:dyDescent="0.3">
      <c r="B48" s="371" t="str">
        <f t="shared" si="0"/>
        <v>Basse-NormandiePrunier</v>
      </c>
      <c r="C48" s="371" t="str">
        <f t="shared" si="1"/>
        <v>Basse-NormandiePrunierAutres</v>
      </c>
      <c r="E48" s="307" t="s">
        <v>14</v>
      </c>
      <c r="F48" s="308" t="s">
        <v>170</v>
      </c>
      <c r="G48" s="308" t="s">
        <v>178</v>
      </c>
      <c r="H48" s="297">
        <v>0.01</v>
      </c>
      <c r="I48" s="297">
        <v>0.33</v>
      </c>
      <c r="J48" s="297">
        <v>5.14</v>
      </c>
      <c r="K48" s="299">
        <v>9.34</v>
      </c>
      <c r="L48" s="372"/>
      <c r="M48" s="377" t="str">
        <f t="shared" si="2"/>
        <v>Basse-NormandiePrunier</v>
      </c>
      <c r="N48" s="377" t="str">
        <f t="shared" si="3"/>
        <v>Basse-NormandiePrunierAutres</v>
      </c>
      <c r="P48" s="318" t="s">
        <v>14</v>
      </c>
      <c r="Q48" s="319" t="s">
        <v>170</v>
      </c>
      <c r="R48" s="319" t="s">
        <v>178</v>
      </c>
      <c r="S48" s="297"/>
      <c r="T48" s="297"/>
      <c r="U48" s="297"/>
      <c r="V48" s="299"/>
    </row>
    <row r="49" spans="2:22" ht="15.75" thickTop="1" x14ac:dyDescent="0.25">
      <c r="B49" s="371" t="str">
        <f t="shared" si="0"/>
        <v>BourgogneAbricotier</v>
      </c>
      <c r="C49" s="371" t="str">
        <f t="shared" si="1"/>
        <v>BourgogneAbricotierAbricotier</v>
      </c>
      <c r="E49" s="303" t="s">
        <v>15</v>
      </c>
      <c r="F49" s="304" t="s">
        <v>135</v>
      </c>
      <c r="G49" s="304" t="s">
        <v>135</v>
      </c>
      <c r="H49" s="296">
        <v>0.01</v>
      </c>
      <c r="I49" s="296">
        <v>0.62</v>
      </c>
      <c r="J49" s="296">
        <v>5.1100000000000003</v>
      </c>
      <c r="K49" s="300">
        <v>10.66</v>
      </c>
      <c r="L49" s="372"/>
      <c r="M49" s="377" t="str">
        <f t="shared" si="2"/>
        <v>BourgogneAbricotier</v>
      </c>
      <c r="N49" s="377" t="str">
        <f t="shared" si="3"/>
        <v>BourgogneAbricotierAbricotier</v>
      </c>
      <c r="P49" s="314" t="s">
        <v>15</v>
      </c>
      <c r="Q49" s="315" t="s">
        <v>135</v>
      </c>
      <c r="R49" s="315" t="s">
        <v>135</v>
      </c>
      <c r="S49" s="296"/>
      <c r="T49" s="296"/>
      <c r="U49" s="296"/>
      <c r="V49" s="300"/>
    </row>
    <row r="50" spans="2:22" x14ac:dyDescent="0.25">
      <c r="B50" s="371" t="str">
        <f t="shared" si="0"/>
        <v>BourgogneAgrumes</v>
      </c>
      <c r="C50" s="371" t="str">
        <f t="shared" si="1"/>
        <v>BourgogneAgrumesClémentinier</v>
      </c>
      <c r="E50" s="305" t="s">
        <v>15</v>
      </c>
      <c r="F50" s="306" t="s">
        <v>646</v>
      </c>
      <c r="G50" s="306" t="s">
        <v>143</v>
      </c>
      <c r="H50" s="295">
        <v>0</v>
      </c>
      <c r="I50" s="295">
        <v>0.3</v>
      </c>
      <c r="J50" s="295">
        <v>2</v>
      </c>
      <c r="K50" s="298">
        <v>5</v>
      </c>
      <c r="L50" s="372"/>
      <c r="M50" s="377" t="str">
        <f t="shared" si="2"/>
        <v>BourgogneAgrumes</v>
      </c>
      <c r="N50" s="377" t="str">
        <f t="shared" si="3"/>
        <v>BourgogneAgrumesClémentinier</v>
      </c>
      <c r="P50" s="316" t="s">
        <v>15</v>
      </c>
      <c r="Q50" s="317" t="s">
        <v>646</v>
      </c>
      <c r="R50" s="317" t="s">
        <v>143</v>
      </c>
      <c r="S50" s="295"/>
      <c r="T50" s="295"/>
      <c r="U50" s="295"/>
      <c r="V50" s="298"/>
    </row>
    <row r="51" spans="2:22" x14ac:dyDescent="0.25">
      <c r="B51" s="371" t="str">
        <f t="shared" si="0"/>
        <v>BourgogneAutres</v>
      </c>
      <c r="C51" s="371" t="str">
        <f t="shared" si="1"/>
        <v>BourgogneAutresPrunier</v>
      </c>
      <c r="E51" s="305" t="s">
        <v>15</v>
      </c>
      <c r="F51" s="306" t="s">
        <v>178</v>
      </c>
      <c r="G51" s="306" t="s">
        <v>170</v>
      </c>
      <c r="H51" s="295">
        <v>0.01</v>
      </c>
      <c r="I51" s="295">
        <v>0.33</v>
      </c>
      <c r="J51" s="295">
        <v>5.14</v>
      </c>
      <c r="K51" s="298">
        <v>9.34</v>
      </c>
      <c r="L51" s="372"/>
      <c r="M51" s="377" t="str">
        <f t="shared" si="2"/>
        <v>BourgogneAutres</v>
      </c>
      <c r="N51" s="377" t="str">
        <f t="shared" si="3"/>
        <v>BourgogneAutresPrunier</v>
      </c>
      <c r="P51" s="316" t="s">
        <v>15</v>
      </c>
      <c r="Q51" s="317" t="s">
        <v>178</v>
      </c>
      <c r="R51" s="317" t="s">
        <v>170</v>
      </c>
      <c r="S51" s="295"/>
      <c r="T51" s="295"/>
      <c r="U51" s="295"/>
      <c r="V51" s="298"/>
    </row>
    <row r="52" spans="2:22" x14ac:dyDescent="0.25">
      <c r="B52" s="371" t="str">
        <f t="shared" si="0"/>
        <v>BourgogneCerisier</v>
      </c>
      <c r="C52" s="371" t="str">
        <f t="shared" si="1"/>
        <v>BourgogneCerisierCerisier</v>
      </c>
      <c r="E52" s="305" t="s">
        <v>15</v>
      </c>
      <c r="F52" s="306" t="s">
        <v>140</v>
      </c>
      <c r="G52" s="306" t="s">
        <v>140</v>
      </c>
      <c r="H52" s="295">
        <v>0</v>
      </c>
      <c r="I52" s="295">
        <v>0.26</v>
      </c>
      <c r="J52" s="295">
        <v>3.48</v>
      </c>
      <c r="K52" s="298">
        <v>6.6</v>
      </c>
      <c r="L52" s="372"/>
      <c r="M52" s="377" t="str">
        <f t="shared" si="2"/>
        <v>BourgogneCerisier</v>
      </c>
      <c r="N52" s="377" t="str">
        <f t="shared" si="3"/>
        <v>BourgogneCerisierCerisier</v>
      </c>
      <c r="P52" s="316" t="s">
        <v>15</v>
      </c>
      <c r="Q52" s="317" t="s">
        <v>140</v>
      </c>
      <c r="R52" s="317" t="s">
        <v>140</v>
      </c>
      <c r="S52" s="295"/>
      <c r="T52" s="295"/>
      <c r="U52" s="295"/>
      <c r="V52" s="298"/>
    </row>
    <row r="53" spans="2:22" x14ac:dyDescent="0.25">
      <c r="B53" s="371" t="str">
        <f t="shared" si="0"/>
        <v>BourgogneMirabellier</v>
      </c>
      <c r="C53" s="371" t="str">
        <f t="shared" si="1"/>
        <v>BourgogneMirabellierAutres</v>
      </c>
      <c r="E53" s="305" t="s">
        <v>15</v>
      </c>
      <c r="F53" s="306" t="s">
        <v>153</v>
      </c>
      <c r="G53" s="306" t="s">
        <v>178</v>
      </c>
      <c r="H53" s="295">
        <v>0.01</v>
      </c>
      <c r="I53" s="295">
        <v>0.33</v>
      </c>
      <c r="J53" s="295">
        <v>5.14</v>
      </c>
      <c r="K53" s="298">
        <v>9.34</v>
      </c>
      <c r="L53" s="372"/>
      <c r="M53" s="377" t="str">
        <f t="shared" si="2"/>
        <v>BourgogneMirabellier</v>
      </c>
      <c r="N53" s="377" t="str">
        <f t="shared" si="3"/>
        <v>BourgogneMirabellierAutres</v>
      </c>
      <c r="P53" s="316" t="s">
        <v>15</v>
      </c>
      <c r="Q53" s="317" t="s">
        <v>153</v>
      </c>
      <c r="R53" s="317" t="s">
        <v>178</v>
      </c>
      <c r="S53" s="295"/>
      <c r="T53" s="295"/>
      <c r="U53" s="295"/>
      <c r="V53" s="298"/>
    </row>
    <row r="54" spans="2:22" x14ac:dyDescent="0.25">
      <c r="B54" s="371" t="str">
        <f t="shared" si="0"/>
        <v>BourgogneNectarinier</v>
      </c>
      <c r="C54" s="371" t="str">
        <f t="shared" si="1"/>
        <v>BourgogneNectarinierNectarinier-Pêcher</v>
      </c>
      <c r="E54" s="305" t="s">
        <v>15</v>
      </c>
      <c r="F54" s="306" t="s">
        <v>159</v>
      </c>
      <c r="G54" s="306" t="s">
        <v>647</v>
      </c>
      <c r="H54" s="295">
        <v>0.03</v>
      </c>
      <c r="I54" s="295">
        <v>0.84</v>
      </c>
      <c r="J54" s="295">
        <v>9.25</v>
      </c>
      <c r="K54" s="298">
        <v>19.38</v>
      </c>
      <c r="L54" s="372"/>
      <c r="M54" s="377" t="str">
        <f t="shared" si="2"/>
        <v>BourgogneNectarinier</v>
      </c>
      <c r="N54" s="377" t="str">
        <f t="shared" si="3"/>
        <v>BourgogneNectarinierNectarinier-Pêcher</v>
      </c>
      <c r="P54" s="316" t="s">
        <v>15</v>
      </c>
      <c r="Q54" s="317" t="s">
        <v>159</v>
      </c>
      <c r="R54" s="317" t="s">
        <v>647</v>
      </c>
      <c r="S54" s="295"/>
      <c r="T54" s="295"/>
      <c r="U54" s="295"/>
      <c r="V54" s="298"/>
    </row>
    <row r="55" spans="2:22" x14ac:dyDescent="0.25">
      <c r="B55" s="371" t="str">
        <f t="shared" si="0"/>
        <v>BourgogneNoyer</v>
      </c>
      <c r="C55" s="371" t="str">
        <f t="shared" si="1"/>
        <v>BourgogneNoyerAutres</v>
      </c>
      <c r="E55" s="305" t="s">
        <v>15</v>
      </c>
      <c r="F55" s="306" t="s">
        <v>162</v>
      </c>
      <c r="G55" s="306" t="s">
        <v>178</v>
      </c>
      <c r="H55" s="295">
        <v>0.01</v>
      </c>
      <c r="I55" s="295">
        <v>0.33</v>
      </c>
      <c r="J55" s="295">
        <v>5.14</v>
      </c>
      <c r="K55" s="298">
        <v>9.34</v>
      </c>
      <c r="L55" s="372"/>
      <c r="M55" s="377" t="str">
        <f t="shared" si="2"/>
        <v>BourgogneNoyer</v>
      </c>
      <c r="N55" s="377" t="str">
        <f t="shared" si="3"/>
        <v>BourgogneNoyerAutres</v>
      </c>
      <c r="P55" s="316" t="s">
        <v>15</v>
      </c>
      <c r="Q55" s="317" t="s">
        <v>162</v>
      </c>
      <c r="R55" s="317" t="s">
        <v>178</v>
      </c>
      <c r="S55" s="295"/>
      <c r="T55" s="295"/>
      <c r="U55" s="295"/>
      <c r="V55" s="298"/>
    </row>
    <row r="56" spans="2:22" x14ac:dyDescent="0.25">
      <c r="B56" s="371" t="str">
        <f t="shared" si="0"/>
        <v>BourgognePêcher</v>
      </c>
      <c r="C56" s="371" t="str">
        <f t="shared" si="1"/>
        <v>BourgognePêcherNectarinier-Pêcher</v>
      </c>
      <c r="E56" s="305" t="s">
        <v>15</v>
      </c>
      <c r="F56" s="306" t="s">
        <v>166</v>
      </c>
      <c r="G56" s="306" t="s">
        <v>647</v>
      </c>
      <c r="H56" s="295">
        <v>0.03</v>
      </c>
      <c r="I56" s="295">
        <v>0.84</v>
      </c>
      <c r="J56" s="295">
        <v>9.25</v>
      </c>
      <c r="K56" s="298">
        <v>19.38</v>
      </c>
      <c r="L56" s="372"/>
      <c r="M56" s="377" t="str">
        <f t="shared" si="2"/>
        <v>BourgognePêcher</v>
      </c>
      <c r="N56" s="377" t="str">
        <f t="shared" si="3"/>
        <v>BourgognePêcherNectarinier-Pêcher</v>
      </c>
      <c r="P56" s="316" t="s">
        <v>15</v>
      </c>
      <c r="Q56" s="317" t="s">
        <v>166</v>
      </c>
      <c r="R56" s="317" t="s">
        <v>647</v>
      </c>
      <c r="S56" s="295"/>
      <c r="T56" s="295"/>
      <c r="U56" s="295"/>
      <c r="V56" s="298"/>
    </row>
    <row r="57" spans="2:22" x14ac:dyDescent="0.25">
      <c r="B57" s="371" t="str">
        <f t="shared" si="0"/>
        <v>BourgognePoirier</v>
      </c>
      <c r="C57" s="371" t="str">
        <f t="shared" si="1"/>
        <v>BourgognePoirierAutres</v>
      </c>
      <c r="E57" s="305" t="s">
        <v>15</v>
      </c>
      <c r="F57" s="306" t="s">
        <v>167</v>
      </c>
      <c r="G57" s="306" t="s">
        <v>178</v>
      </c>
      <c r="H57" s="295">
        <v>0.01</v>
      </c>
      <c r="I57" s="295">
        <v>0.33</v>
      </c>
      <c r="J57" s="295">
        <v>5.14</v>
      </c>
      <c r="K57" s="298">
        <v>9.34</v>
      </c>
      <c r="L57" s="372"/>
      <c r="M57" s="377" t="str">
        <f t="shared" si="2"/>
        <v>BourgognePoirier</v>
      </c>
      <c r="N57" s="377" t="str">
        <f t="shared" si="3"/>
        <v>BourgognePoirierAutres</v>
      </c>
      <c r="P57" s="316" t="s">
        <v>15</v>
      </c>
      <c r="Q57" s="317" t="s">
        <v>167</v>
      </c>
      <c r="R57" s="317" t="s">
        <v>178</v>
      </c>
      <c r="S57" s="295"/>
      <c r="T57" s="295"/>
      <c r="U57" s="295"/>
      <c r="V57" s="298"/>
    </row>
    <row r="58" spans="2:22" x14ac:dyDescent="0.25">
      <c r="B58" s="371" t="str">
        <f t="shared" si="0"/>
        <v>BourgognePommier</v>
      </c>
      <c r="C58" s="371" t="str">
        <f t="shared" si="1"/>
        <v>BourgognePommierPommier</v>
      </c>
      <c r="E58" s="305" t="s">
        <v>15</v>
      </c>
      <c r="F58" s="306" t="s">
        <v>169</v>
      </c>
      <c r="G58" s="306" t="s">
        <v>169</v>
      </c>
      <c r="H58" s="295">
        <v>0.03</v>
      </c>
      <c r="I58" s="295">
        <v>0.84</v>
      </c>
      <c r="J58" s="295">
        <v>9.25</v>
      </c>
      <c r="K58" s="298">
        <v>19.38</v>
      </c>
      <c r="L58" s="372"/>
      <c r="M58" s="377" t="str">
        <f t="shared" si="2"/>
        <v>BourgognePommier</v>
      </c>
      <c r="N58" s="377" t="str">
        <f t="shared" si="3"/>
        <v>BourgognePommierPommier</v>
      </c>
      <c r="P58" s="316" t="s">
        <v>15</v>
      </c>
      <c r="Q58" s="317" t="s">
        <v>169</v>
      </c>
      <c r="R58" s="317" t="s">
        <v>169</v>
      </c>
      <c r="S58" s="295"/>
      <c r="T58" s="295"/>
      <c r="U58" s="295"/>
      <c r="V58" s="298"/>
    </row>
    <row r="59" spans="2:22" ht="15.75" thickBot="1" x14ac:dyDescent="0.3">
      <c r="B59" s="371" t="str">
        <f t="shared" si="0"/>
        <v>BourgognePrunier</v>
      </c>
      <c r="C59" s="371" t="str">
        <f t="shared" si="1"/>
        <v>BourgognePrunierAutres</v>
      </c>
      <c r="E59" s="307" t="s">
        <v>15</v>
      </c>
      <c r="F59" s="308" t="s">
        <v>170</v>
      </c>
      <c r="G59" s="308" t="s">
        <v>178</v>
      </c>
      <c r="H59" s="297">
        <v>0.01</v>
      </c>
      <c r="I59" s="297">
        <v>0.33</v>
      </c>
      <c r="J59" s="297">
        <v>5.14</v>
      </c>
      <c r="K59" s="299">
        <v>9.34</v>
      </c>
      <c r="L59" s="372"/>
      <c r="M59" s="377" t="str">
        <f t="shared" si="2"/>
        <v>BourgognePrunier</v>
      </c>
      <c r="N59" s="377" t="str">
        <f t="shared" si="3"/>
        <v>BourgognePrunierAutres</v>
      </c>
      <c r="P59" s="318" t="s">
        <v>15</v>
      </c>
      <c r="Q59" s="319" t="s">
        <v>170</v>
      </c>
      <c r="R59" s="319" t="s">
        <v>178</v>
      </c>
      <c r="S59" s="297"/>
      <c r="T59" s="297"/>
      <c r="U59" s="297"/>
      <c r="V59" s="299"/>
    </row>
    <row r="60" spans="2:22" ht="15.75" thickTop="1" x14ac:dyDescent="0.25">
      <c r="B60" s="371" t="str">
        <f t="shared" si="0"/>
        <v>BretagneAbricotier</v>
      </c>
      <c r="C60" s="371" t="str">
        <f t="shared" si="1"/>
        <v>BretagneAbricotierAbricotier</v>
      </c>
      <c r="E60" s="305" t="s">
        <v>16</v>
      </c>
      <c r="F60" s="306" t="s">
        <v>135</v>
      </c>
      <c r="G60" s="306" t="s">
        <v>135</v>
      </c>
      <c r="H60" s="295">
        <v>0.01</v>
      </c>
      <c r="I60" s="295">
        <v>0.62</v>
      </c>
      <c r="J60" s="295">
        <v>5.1100000000000003</v>
      </c>
      <c r="K60" s="298">
        <v>10.66</v>
      </c>
      <c r="L60" s="372"/>
      <c r="M60" s="377" t="str">
        <f t="shared" si="2"/>
        <v>BretagneAbricotier</v>
      </c>
      <c r="N60" s="377" t="str">
        <f t="shared" si="3"/>
        <v>BretagneAbricotierAbricotier</v>
      </c>
      <c r="P60" s="316" t="s">
        <v>16</v>
      </c>
      <c r="Q60" s="317" t="s">
        <v>135</v>
      </c>
      <c r="R60" s="317" t="s">
        <v>135</v>
      </c>
      <c r="S60" s="295"/>
      <c r="T60" s="295"/>
      <c r="U60" s="295"/>
      <c r="V60" s="298"/>
    </row>
    <row r="61" spans="2:22" x14ac:dyDescent="0.25">
      <c r="B61" s="371" t="str">
        <f t="shared" si="0"/>
        <v>BretagneAgrumes</v>
      </c>
      <c r="C61" s="371" t="str">
        <f t="shared" si="1"/>
        <v>BretagneAgrumesClémentinier</v>
      </c>
      <c r="E61" s="305" t="s">
        <v>16</v>
      </c>
      <c r="F61" s="306" t="s">
        <v>646</v>
      </c>
      <c r="G61" s="306" t="s">
        <v>143</v>
      </c>
      <c r="H61" s="295">
        <v>0</v>
      </c>
      <c r="I61" s="295">
        <v>0.3</v>
      </c>
      <c r="J61" s="295">
        <v>2</v>
      </c>
      <c r="K61" s="298">
        <v>5</v>
      </c>
      <c r="L61" s="372"/>
      <c r="M61" s="377" t="str">
        <f t="shared" si="2"/>
        <v>BretagneAgrumes</v>
      </c>
      <c r="N61" s="377" t="str">
        <f t="shared" si="3"/>
        <v>BretagneAgrumesClémentinier</v>
      </c>
      <c r="P61" s="316" t="s">
        <v>16</v>
      </c>
      <c r="Q61" s="317" t="s">
        <v>646</v>
      </c>
      <c r="R61" s="317" t="s">
        <v>143</v>
      </c>
      <c r="S61" s="295"/>
      <c r="T61" s="295"/>
      <c r="U61" s="295"/>
      <c r="V61" s="298"/>
    </row>
    <row r="62" spans="2:22" x14ac:dyDescent="0.25">
      <c r="B62" s="371" t="str">
        <f t="shared" si="0"/>
        <v>BretagneAutres</v>
      </c>
      <c r="C62" s="371" t="str">
        <f t="shared" si="1"/>
        <v>BretagneAutresPrunier</v>
      </c>
      <c r="E62" s="305" t="s">
        <v>16</v>
      </c>
      <c r="F62" s="306" t="s">
        <v>178</v>
      </c>
      <c r="G62" s="306" t="s">
        <v>170</v>
      </c>
      <c r="H62" s="295">
        <v>0.01</v>
      </c>
      <c r="I62" s="295">
        <v>0.33</v>
      </c>
      <c r="J62" s="295">
        <v>5.14</v>
      </c>
      <c r="K62" s="298">
        <v>9.34</v>
      </c>
      <c r="L62" s="372"/>
      <c r="M62" s="377" t="str">
        <f t="shared" si="2"/>
        <v>BretagneAutres</v>
      </c>
      <c r="N62" s="377" t="str">
        <f t="shared" si="3"/>
        <v>BretagneAutresPrunier</v>
      </c>
      <c r="P62" s="316" t="s">
        <v>16</v>
      </c>
      <c r="Q62" s="317" t="s">
        <v>178</v>
      </c>
      <c r="R62" s="317" t="s">
        <v>170</v>
      </c>
      <c r="S62" s="295"/>
      <c r="T62" s="295"/>
      <c r="U62" s="295"/>
      <c r="V62" s="298"/>
    </row>
    <row r="63" spans="2:22" x14ac:dyDescent="0.25">
      <c r="B63" s="371" t="str">
        <f t="shared" si="0"/>
        <v>BretagneCerisier</v>
      </c>
      <c r="C63" s="371" t="str">
        <f t="shared" si="1"/>
        <v>BretagneCerisierCerisier</v>
      </c>
      <c r="E63" s="305" t="s">
        <v>16</v>
      </c>
      <c r="F63" s="306" t="s">
        <v>140</v>
      </c>
      <c r="G63" s="306" t="s">
        <v>140</v>
      </c>
      <c r="H63" s="295">
        <v>0</v>
      </c>
      <c r="I63" s="295">
        <v>0.36</v>
      </c>
      <c r="J63" s="295">
        <v>4.0599999999999996</v>
      </c>
      <c r="K63" s="298">
        <v>8.0299999999999994</v>
      </c>
      <c r="L63" s="372"/>
      <c r="M63" s="377" t="str">
        <f t="shared" si="2"/>
        <v>BretagneCerisier</v>
      </c>
      <c r="N63" s="377" t="str">
        <f t="shared" si="3"/>
        <v>BretagneCerisierCerisier</v>
      </c>
      <c r="P63" s="316" t="s">
        <v>16</v>
      </c>
      <c r="Q63" s="317" t="s">
        <v>140</v>
      </c>
      <c r="R63" s="317" t="s">
        <v>140</v>
      </c>
      <c r="S63" s="295"/>
      <c r="T63" s="295"/>
      <c r="U63" s="295"/>
      <c r="V63" s="298"/>
    </row>
    <row r="64" spans="2:22" x14ac:dyDescent="0.25">
      <c r="B64" s="371" t="str">
        <f t="shared" si="0"/>
        <v>BretagneMirabellier</v>
      </c>
      <c r="C64" s="371" t="str">
        <f t="shared" si="1"/>
        <v>BretagneMirabellierAutres</v>
      </c>
      <c r="E64" s="305" t="s">
        <v>16</v>
      </c>
      <c r="F64" s="306" t="s">
        <v>153</v>
      </c>
      <c r="G64" s="306" t="s">
        <v>178</v>
      </c>
      <c r="H64" s="295">
        <v>0.01</v>
      </c>
      <c r="I64" s="295">
        <v>0.33</v>
      </c>
      <c r="J64" s="295">
        <v>5.14</v>
      </c>
      <c r="K64" s="298">
        <v>9.34</v>
      </c>
      <c r="L64" s="372"/>
      <c r="M64" s="377" t="str">
        <f t="shared" si="2"/>
        <v>BretagneMirabellier</v>
      </c>
      <c r="N64" s="377" t="str">
        <f t="shared" si="3"/>
        <v>BretagneMirabellierAutres</v>
      </c>
      <c r="P64" s="316" t="s">
        <v>16</v>
      </c>
      <c r="Q64" s="317" t="s">
        <v>153</v>
      </c>
      <c r="R64" s="317" t="s">
        <v>178</v>
      </c>
      <c r="S64" s="295"/>
      <c r="T64" s="295"/>
      <c r="U64" s="295"/>
      <c r="V64" s="298"/>
    </row>
    <row r="65" spans="2:22" x14ac:dyDescent="0.25">
      <c r="B65" s="371" t="str">
        <f t="shared" si="0"/>
        <v>BretagneNectarinier</v>
      </c>
      <c r="C65" s="371" t="str">
        <f t="shared" si="1"/>
        <v>BretagneNectarinierNectarinier-Pêcher</v>
      </c>
      <c r="E65" s="305" t="s">
        <v>16</v>
      </c>
      <c r="F65" s="306" t="s">
        <v>159</v>
      </c>
      <c r="G65" s="306" t="s">
        <v>647</v>
      </c>
      <c r="H65" s="295">
        <v>0.03</v>
      </c>
      <c r="I65" s="295">
        <v>0.84</v>
      </c>
      <c r="J65" s="295">
        <v>9.25</v>
      </c>
      <c r="K65" s="298">
        <v>19.38</v>
      </c>
      <c r="L65" s="372"/>
      <c r="M65" s="377" t="str">
        <f t="shared" si="2"/>
        <v>BretagneNectarinier</v>
      </c>
      <c r="N65" s="377" t="str">
        <f t="shared" si="3"/>
        <v>BretagneNectarinierNectarinier-Pêcher</v>
      </c>
      <c r="P65" s="316" t="s">
        <v>16</v>
      </c>
      <c r="Q65" s="317" t="s">
        <v>159</v>
      </c>
      <c r="R65" s="317" t="s">
        <v>647</v>
      </c>
      <c r="S65" s="295"/>
      <c r="T65" s="295"/>
      <c r="U65" s="295"/>
      <c r="V65" s="298"/>
    </row>
    <row r="66" spans="2:22" x14ac:dyDescent="0.25">
      <c r="B66" s="371" t="str">
        <f t="shared" si="0"/>
        <v>BretagneNoyer</v>
      </c>
      <c r="C66" s="371" t="str">
        <f t="shared" si="1"/>
        <v>BretagneNoyerAutres</v>
      </c>
      <c r="E66" s="305" t="s">
        <v>16</v>
      </c>
      <c r="F66" s="306" t="s">
        <v>162</v>
      </c>
      <c r="G66" s="306" t="s">
        <v>178</v>
      </c>
      <c r="H66" s="295">
        <v>0.01</v>
      </c>
      <c r="I66" s="295">
        <v>0.33</v>
      </c>
      <c r="J66" s="295">
        <v>5.14</v>
      </c>
      <c r="K66" s="298">
        <v>9.34</v>
      </c>
      <c r="L66" s="372"/>
      <c r="M66" s="377" t="str">
        <f t="shared" si="2"/>
        <v>BretagneNoyer</v>
      </c>
      <c r="N66" s="377" t="str">
        <f t="shared" si="3"/>
        <v>BretagneNoyerAutres</v>
      </c>
      <c r="P66" s="316" t="s">
        <v>16</v>
      </c>
      <c r="Q66" s="317" t="s">
        <v>162</v>
      </c>
      <c r="R66" s="317" t="s">
        <v>178</v>
      </c>
      <c r="S66" s="295"/>
      <c r="T66" s="295"/>
      <c r="U66" s="295"/>
      <c r="V66" s="298"/>
    </row>
    <row r="67" spans="2:22" x14ac:dyDescent="0.25">
      <c r="B67" s="371" t="str">
        <f t="shared" si="0"/>
        <v>BretagnePêcher</v>
      </c>
      <c r="C67" s="371" t="str">
        <f t="shared" si="1"/>
        <v>BretagnePêcherNectarinier-Pêcher</v>
      </c>
      <c r="E67" s="305" t="s">
        <v>16</v>
      </c>
      <c r="F67" s="306" t="s">
        <v>166</v>
      </c>
      <c r="G67" s="306" t="s">
        <v>647</v>
      </c>
      <c r="H67" s="295">
        <v>0.03</v>
      </c>
      <c r="I67" s="295">
        <v>0.84</v>
      </c>
      <c r="J67" s="295">
        <v>9.25</v>
      </c>
      <c r="K67" s="298">
        <v>19.38</v>
      </c>
      <c r="L67" s="372"/>
      <c r="M67" s="377" t="str">
        <f t="shared" si="2"/>
        <v>BretagnePêcher</v>
      </c>
      <c r="N67" s="377" t="str">
        <f t="shared" si="3"/>
        <v>BretagnePêcherNectarinier-Pêcher</v>
      </c>
      <c r="P67" s="316" t="s">
        <v>16</v>
      </c>
      <c r="Q67" s="317" t="s">
        <v>166</v>
      </c>
      <c r="R67" s="317" t="s">
        <v>647</v>
      </c>
      <c r="S67" s="295"/>
      <c r="T67" s="295"/>
      <c r="U67" s="295"/>
      <c r="V67" s="298"/>
    </row>
    <row r="68" spans="2:22" x14ac:dyDescent="0.25">
      <c r="B68" s="371" t="str">
        <f t="shared" si="0"/>
        <v>BretagnePoirier</v>
      </c>
      <c r="C68" s="371" t="str">
        <f t="shared" si="1"/>
        <v>BretagnePoirierAutres</v>
      </c>
      <c r="E68" s="305" t="s">
        <v>16</v>
      </c>
      <c r="F68" s="306" t="s">
        <v>167</v>
      </c>
      <c r="G68" s="306" t="s">
        <v>178</v>
      </c>
      <c r="H68" s="295">
        <v>0.01</v>
      </c>
      <c r="I68" s="295">
        <v>0.33</v>
      </c>
      <c r="J68" s="295">
        <v>5.14</v>
      </c>
      <c r="K68" s="298">
        <v>9.34</v>
      </c>
      <c r="L68" s="372"/>
      <c r="M68" s="377" t="str">
        <f t="shared" si="2"/>
        <v>BretagnePoirier</v>
      </c>
      <c r="N68" s="377" t="str">
        <f t="shared" si="3"/>
        <v>BretagnePoirierAutres</v>
      </c>
      <c r="P68" s="316" t="s">
        <v>16</v>
      </c>
      <c r="Q68" s="317" t="s">
        <v>167</v>
      </c>
      <c r="R68" s="317" t="s">
        <v>178</v>
      </c>
      <c r="S68" s="295"/>
      <c r="T68" s="295"/>
      <c r="U68" s="295"/>
      <c r="V68" s="298"/>
    </row>
    <row r="69" spans="2:22" x14ac:dyDescent="0.25">
      <c r="B69" s="371" t="str">
        <f t="shared" si="0"/>
        <v>BretagnePommier</v>
      </c>
      <c r="C69" s="371" t="str">
        <f t="shared" si="1"/>
        <v>BretagnePommierPommier</v>
      </c>
      <c r="E69" s="305" t="s">
        <v>16</v>
      </c>
      <c r="F69" s="306" t="s">
        <v>169</v>
      </c>
      <c r="G69" s="306" t="s">
        <v>169</v>
      </c>
      <c r="H69" s="295">
        <v>0</v>
      </c>
      <c r="I69" s="295">
        <v>0.52</v>
      </c>
      <c r="J69" s="295">
        <v>7.73</v>
      </c>
      <c r="K69" s="298">
        <v>27.33</v>
      </c>
      <c r="L69" s="372"/>
      <c r="M69" s="377" t="str">
        <f t="shared" si="2"/>
        <v>BretagnePommier</v>
      </c>
      <c r="N69" s="377" t="str">
        <f t="shared" si="3"/>
        <v>BretagnePommierPommier</v>
      </c>
      <c r="P69" s="316" t="s">
        <v>16</v>
      </c>
      <c r="Q69" s="317" t="s">
        <v>169</v>
      </c>
      <c r="R69" s="317" t="s">
        <v>169</v>
      </c>
      <c r="S69" s="295"/>
      <c r="T69" s="295"/>
      <c r="U69" s="295"/>
      <c r="V69" s="298"/>
    </row>
    <row r="70" spans="2:22" ht="15.75" thickBot="1" x14ac:dyDescent="0.3">
      <c r="B70" s="371" t="str">
        <f t="shared" ref="B70:B133" si="4">E70&amp;F70</f>
        <v>BretagnePrunier</v>
      </c>
      <c r="C70" s="371" t="str">
        <f t="shared" ref="C70:C133" si="5">E70&amp;F70&amp;G70</f>
        <v>BretagnePrunierAutres</v>
      </c>
      <c r="E70" s="307" t="s">
        <v>16</v>
      </c>
      <c r="F70" s="308" t="s">
        <v>170</v>
      </c>
      <c r="G70" s="308" t="s">
        <v>178</v>
      </c>
      <c r="H70" s="297">
        <v>0.01</v>
      </c>
      <c r="I70" s="297">
        <v>0.33</v>
      </c>
      <c r="J70" s="297">
        <v>5.14</v>
      </c>
      <c r="K70" s="299">
        <v>9.34</v>
      </c>
      <c r="L70" s="372"/>
      <c r="M70" s="377" t="str">
        <f t="shared" ref="M70:M133" si="6">P70&amp;Q70</f>
        <v>BretagnePrunier</v>
      </c>
      <c r="N70" s="377" t="str">
        <f t="shared" ref="N70:N133" si="7">P70&amp;Q70&amp;R70</f>
        <v>BretagnePrunierAutres</v>
      </c>
      <c r="P70" s="318" t="s">
        <v>16</v>
      </c>
      <c r="Q70" s="319" t="s">
        <v>170</v>
      </c>
      <c r="R70" s="319" t="s">
        <v>178</v>
      </c>
      <c r="S70" s="297"/>
      <c r="T70" s="297"/>
      <c r="U70" s="297"/>
      <c r="V70" s="299"/>
    </row>
    <row r="71" spans="2:22" ht="15.75" thickTop="1" x14ac:dyDescent="0.25">
      <c r="B71" s="371" t="str">
        <f t="shared" si="4"/>
        <v>CentreAbricotier</v>
      </c>
      <c r="C71" s="371" t="str">
        <f t="shared" si="5"/>
        <v>CentreAbricotierAbricotier</v>
      </c>
      <c r="E71" s="305" t="s">
        <v>17</v>
      </c>
      <c r="F71" s="306" t="s">
        <v>135</v>
      </c>
      <c r="G71" s="306" t="s">
        <v>135</v>
      </c>
      <c r="H71" s="295">
        <v>0.01</v>
      </c>
      <c r="I71" s="295">
        <v>0.62</v>
      </c>
      <c r="J71" s="295">
        <v>5.1100000000000003</v>
      </c>
      <c r="K71" s="298">
        <v>10.66</v>
      </c>
      <c r="L71" s="372"/>
      <c r="M71" s="377" t="str">
        <f t="shared" si="6"/>
        <v>CentreAbricotier</v>
      </c>
      <c r="N71" s="377" t="str">
        <f t="shared" si="7"/>
        <v>CentreAbricotierAbricotier</v>
      </c>
      <c r="P71" s="316" t="s">
        <v>17</v>
      </c>
      <c r="Q71" s="317" t="s">
        <v>135</v>
      </c>
      <c r="R71" s="317" t="s">
        <v>135</v>
      </c>
      <c r="S71" s="295"/>
      <c r="T71" s="295"/>
      <c r="U71" s="295"/>
      <c r="V71" s="298"/>
    </row>
    <row r="72" spans="2:22" x14ac:dyDescent="0.25">
      <c r="B72" s="371" t="str">
        <f t="shared" si="4"/>
        <v>CentreAgrumes</v>
      </c>
      <c r="C72" s="371" t="str">
        <f t="shared" si="5"/>
        <v>CentreAgrumesClémentinier</v>
      </c>
      <c r="E72" s="305" t="s">
        <v>17</v>
      </c>
      <c r="F72" s="306" t="s">
        <v>646</v>
      </c>
      <c r="G72" s="306" t="s">
        <v>143</v>
      </c>
      <c r="H72" s="295">
        <v>0</v>
      </c>
      <c r="I72" s="295">
        <v>0.3</v>
      </c>
      <c r="J72" s="295">
        <v>2</v>
      </c>
      <c r="K72" s="298">
        <v>5</v>
      </c>
      <c r="L72" s="372"/>
      <c r="M72" s="377" t="str">
        <f t="shared" si="6"/>
        <v>CentreAgrumes</v>
      </c>
      <c r="N72" s="377" t="str">
        <f t="shared" si="7"/>
        <v>CentreAgrumesClémentinier</v>
      </c>
      <c r="P72" s="316" t="s">
        <v>17</v>
      </c>
      <c r="Q72" s="317" t="s">
        <v>646</v>
      </c>
      <c r="R72" s="317" t="s">
        <v>143</v>
      </c>
      <c r="S72" s="295"/>
      <c r="T72" s="295"/>
      <c r="U72" s="295"/>
      <c r="V72" s="298"/>
    </row>
    <row r="73" spans="2:22" x14ac:dyDescent="0.25">
      <c r="B73" s="371" t="str">
        <f t="shared" si="4"/>
        <v>CentreAutres</v>
      </c>
      <c r="C73" s="371" t="str">
        <f t="shared" si="5"/>
        <v>CentreAutresPrunier</v>
      </c>
      <c r="E73" s="305" t="s">
        <v>17</v>
      </c>
      <c r="F73" s="306" t="s">
        <v>178</v>
      </c>
      <c r="G73" s="306" t="s">
        <v>170</v>
      </c>
      <c r="H73" s="295">
        <v>0.01</v>
      </c>
      <c r="I73" s="295">
        <v>0.33</v>
      </c>
      <c r="J73" s="295">
        <v>5.14</v>
      </c>
      <c r="K73" s="298">
        <v>9.34</v>
      </c>
      <c r="L73" s="372"/>
      <c r="M73" s="377" t="str">
        <f t="shared" si="6"/>
        <v>CentreAutres</v>
      </c>
      <c r="N73" s="377" t="str">
        <f t="shared" si="7"/>
        <v>CentreAutresPrunier</v>
      </c>
      <c r="P73" s="316" t="s">
        <v>17</v>
      </c>
      <c r="Q73" s="317" t="s">
        <v>178</v>
      </c>
      <c r="R73" s="317" t="s">
        <v>170</v>
      </c>
      <c r="S73" s="295"/>
      <c r="T73" s="295"/>
      <c r="U73" s="295"/>
      <c r="V73" s="298"/>
    </row>
    <row r="74" spans="2:22" x14ac:dyDescent="0.25">
      <c r="B74" s="371" t="str">
        <f t="shared" si="4"/>
        <v>CentreCerisier</v>
      </c>
      <c r="C74" s="371" t="str">
        <f t="shared" si="5"/>
        <v>CentreCerisierCerisier</v>
      </c>
      <c r="E74" s="305" t="s">
        <v>17</v>
      </c>
      <c r="F74" s="306" t="s">
        <v>140</v>
      </c>
      <c r="G74" s="306" t="s">
        <v>140</v>
      </c>
      <c r="H74" s="295">
        <v>0.14000000000000001</v>
      </c>
      <c r="I74" s="295">
        <v>0.36</v>
      </c>
      <c r="J74" s="295">
        <v>7.91</v>
      </c>
      <c r="K74" s="298">
        <v>12.19</v>
      </c>
      <c r="L74" s="372"/>
      <c r="M74" s="377" t="str">
        <f t="shared" si="6"/>
        <v>CentreCerisier</v>
      </c>
      <c r="N74" s="377" t="str">
        <f t="shared" si="7"/>
        <v>CentreCerisierCerisier</v>
      </c>
      <c r="P74" s="316" t="s">
        <v>17</v>
      </c>
      <c r="Q74" s="317" t="s">
        <v>140</v>
      </c>
      <c r="R74" s="317" t="s">
        <v>140</v>
      </c>
      <c r="S74" s="295"/>
      <c r="T74" s="295"/>
      <c r="U74" s="295"/>
      <c r="V74" s="298"/>
    </row>
    <row r="75" spans="2:22" x14ac:dyDescent="0.25">
      <c r="B75" s="371" t="str">
        <f t="shared" si="4"/>
        <v>CentreMirabellier</v>
      </c>
      <c r="C75" s="371" t="str">
        <f t="shared" si="5"/>
        <v>CentreMirabellierAutres</v>
      </c>
      <c r="E75" s="305" t="s">
        <v>17</v>
      </c>
      <c r="F75" s="306" t="s">
        <v>153</v>
      </c>
      <c r="G75" s="306" t="s">
        <v>178</v>
      </c>
      <c r="H75" s="295">
        <v>0.01</v>
      </c>
      <c r="I75" s="295">
        <v>0.33</v>
      </c>
      <c r="J75" s="295">
        <v>5.14</v>
      </c>
      <c r="K75" s="298">
        <v>9.34</v>
      </c>
      <c r="L75" s="372"/>
      <c r="M75" s="377" t="str">
        <f t="shared" si="6"/>
        <v>CentreMirabellier</v>
      </c>
      <c r="N75" s="377" t="str">
        <f t="shared" si="7"/>
        <v>CentreMirabellierAutres</v>
      </c>
      <c r="P75" s="316" t="s">
        <v>17</v>
      </c>
      <c r="Q75" s="317" t="s">
        <v>153</v>
      </c>
      <c r="R75" s="317" t="s">
        <v>178</v>
      </c>
      <c r="S75" s="295"/>
      <c r="T75" s="295"/>
      <c r="U75" s="295"/>
      <c r="V75" s="298"/>
    </row>
    <row r="76" spans="2:22" x14ac:dyDescent="0.25">
      <c r="B76" s="371" t="str">
        <f t="shared" si="4"/>
        <v>CentreNectarinier</v>
      </c>
      <c r="C76" s="371" t="str">
        <f t="shared" si="5"/>
        <v>CentreNectarinierNectarinier-Pêcher</v>
      </c>
      <c r="E76" s="305" t="s">
        <v>17</v>
      </c>
      <c r="F76" s="306" t="s">
        <v>159</v>
      </c>
      <c r="G76" s="306" t="s">
        <v>647</v>
      </c>
      <c r="H76" s="295">
        <v>0.03</v>
      </c>
      <c r="I76" s="295">
        <v>0.84</v>
      </c>
      <c r="J76" s="295">
        <v>9.25</v>
      </c>
      <c r="K76" s="298">
        <v>19.38</v>
      </c>
      <c r="L76" s="372"/>
      <c r="M76" s="377" t="str">
        <f t="shared" si="6"/>
        <v>CentreNectarinier</v>
      </c>
      <c r="N76" s="377" t="str">
        <f t="shared" si="7"/>
        <v>CentreNectarinierNectarinier-Pêcher</v>
      </c>
      <c r="P76" s="316" t="s">
        <v>17</v>
      </c>
      <c r="Q76" s="317" t="s">
        <v>159</v>
      </c>
      <c r="R76" s="317" t="s">
        <v>647</v>
      </c>
      <c r="S76" s="295"/>
      <c r="T76" s="295"/>
      <c r="U76" s="295"/>
      <c r="V76" s="298"/>
    </row>
    <row r="77" spans="2:22" x14ac:dyDescent="0.25">
      <c r="B77" s="371" t="str">
        <f t="shared" si="4"/>
        <v>CentreNoyer</v>
      </c>
      <c r="C77" s="371" t="str">
        <f t="shared" si="5"/>
        <v>CentreNoyerAutres</v>
      </c>
      <c r="E77" s="305" t="s">
        <v>17</v>
      </c>
      <c r="F77" s="306" t="s">
        <v>162</v>
      </c>
      <c r="G77" s="306" t="s">
        <v>178</v>
      </c>
      <c r="H77" s="295">
        <v>0.01</v>
      </c>
      <c r="I77" s="295">
        <v>0.33</v>
      </c>
      <c r="J77" s="295">
        <v>5.14</v>
      </c>
      <c r="K77" s="298">
        <v>9.34</v>
      </c>
      <c r="L77" s="372"/>
      <c r="M77" s="377" t="str">
        <f t="shared" si="6"/>
        <v>CentreNoyer</v>
      </c>
      <c r="N77" s="377" t="str">
        <f t="shared" si="7"/>
        <v>CentreNoyerAutres</v>
      </c>
      <c r="P77" s="316" t="s">
        <v>17</v>
      </c>
      <c r="Q77" s="317" t="s">
        <v>162</v>
      </c>
      <c r="R77" s="317" t="s">
        <v>178</v>
      </c>
      <c r="S77" s="295"/>
      <c r="T77" s="295"/>
      <c r="U77" s="295"/>
      <c r="V77" s="298"/>
    </row>
    <row r="78" spans="2:22" x14ac:dyDescent="0.25">
      <c r="B78" s="371" t="str">
        <f t="shared" si="4"/>
        <v>CentrePêcher</v>
      </c>
      <c r="C78" s="371" t="str">
        <f t="shared" si="5"/>
        <v>CentrePêcherNectarinier-Pêcher</v>
      </c>
      <c r="E78" s="305" t="s">
        <v>17</v>
      </c>
      <c r="F78" s="306" t="s">
        <v>166</v>
      </c>
      <c r="G78" s="306" t="s">
        <v>647</v>
      </c>
      <c r="H78" s="295">
        <v>0.03</v>
      </c>
      <c r="I78" s="295">
        <v>0.84</v>
      </c>
      <c r="J78" s="295">
        <v>9.25</v>
      </c>
      <c r="K78" s="298">
        <v>19.38</v>
      </c>
      <c r="L78" s="372"/>
      <c r="M78" s="377" t="str">
        <f t="shared" si="6"/>
        <v>CentrePêcher</v>
      </c>
      <c r="N78" s="377" t="str">
        <f t="shared" si="7"/>
        <v>CentrePêcherNectarinier-Pêcher</v>
      </c>
      <c r="P78" s="316" t="s">
        <v>17</v>
      </c>
      <c r="Q78" s="317" t="s">
        <v>166</v>
      </c>
      <c r="R78" s="317" t="s">
        <v>647</v>
      </c>
      <c r="S78" s="295"/>
      <c r="T78" s="295"/>
      <c r="U78" s="295"/>
      <c r="V78" s="298"/>
    </row>
    <row r="79" spans="2:22" x14ac:dyDescent="0.25">
      <c r="B79" s="371" t="str">
        <f t="shared" si="4"/>
        <v>CentrePoirier</v>
      </c>
      <c r="C79" s="371" t="str">
        <f t="shared" si="5"/>
        <v>CentrePoirierAutres</v>
      </c>
      <c r="E79" s="305" t="s">
        <v>17</v>
      </c>
      <c r="F79" s="306" t="s">
        <v>167</v>
      </c>
      <c r="G79" s="306" t="s">
        <v>178</v>
      </c>
      <c r="H79" s="295">
        <v>0.01</v>
      </c>
      <c r="I79" s="295">
        <v>0.33</v>
      </c>
      <c r="J79" s="295">
        <v>5.14</v>
      </c>
      <c r="K79" s="298">
        <v>9.34</v>
      </c>
      <c r="L79" s="372"/>
      <c r="M79" s="377" t="str">
        <f t="shared" si="6"/>
        <v>CentrePoirier</v>
      </c>
      <c r="N79" s="377" t="str">
        <f t="shared" si="7"/>
        <v>CentrePoirierAutres</v>
      </c>
      <c r="P79" s="316" t="s">
        <v>17</v>
      </c>
      <c r="Q79" s="317" t="s">
        <v>167</v>
      </c>
      <c r="R79" s="317" t="s">
        <v>178</v>
      </c>
      <c r="S79" s="295"/>
      <c r="T79" s="295"/>
      <c r="U79" s="295"/>
      <c r="V79" s="298"/>
    </row>
    <row r="80" spans="2:22" x14ac:dyDescent="0.25">
      <c r="B80" s="371" t="str">
        <f t="shared" si="4"/>
        <v>CentrePommier</v>
      </c>
      <c r="C80" s="371" t="str">
        <f t="shared" si="5"/>
        <v>CentrePommierPommier</v>
      </c>
      <c r="E80" s="305" t="s">
        <v>17</v>
      </c>
      <c r="F80" s="306" t="s">
        <v>169</v>
      </c>
      <c r="G80" s="306" t="s">
        <v>169</v>
      </c>
      <c r="H80" s="295">
        <v>0.08</v>
      </c>
      <c r="I80" s="295">
        <v>0.47</v>
      </c>
      <c r="J80" s="295">
        <v>22.68</v>
      </c>
      <c r="K80" s="298">
        <v>35.54</v>
      </c>
      <c r="L80" s="372"/>
      <c r="M80" s="377" t="str">
        <f t="shared" si="6"/>
        <v>CentrePommier</v>
      </c>
      <c r="N80" s="377" t="str">
        <f t="shared" si="7"/>
        <v>CentrePommierPommier</v>
      </c>
      <c r="P80" s="316" t="s">
        <v>17</v>
      </c>
      <c r="Q80" s="317" t="s">
        <v>169</v>
      </c>
      <c r="R80" s="317" t="s">
        <v>169</v>
      </c>
      <c r="S80" s="295"/>
      <c r="T80" s="295"/>
      <c r="U80" s="295"/>
      <c r="V80" s="298"/>
    </row>
    <row r="81" spans="2:22" ht="15.75" thickBot="1" x14ac:dyDescent="0.3">
      <c r="B81" s="371" t="str">
        <f t="shared" si="4"/>
        <v>CentrePrunier</v>
      </c>
      <c r="C81" s="371" t="str">
        <f t="shared" si="5"/>
        <v>CentrePrunierAutres</v>
      </c>
      <c r="E81" s="307" t="s">
        <v>17</v>
      </c>
      <c r="F81" s="308" t="s">
        <v>170</v>
      </c>
      <c r="G81" s="308" t="s">
        <v>178</v>
      </c>
      <c r="H81" s="297">
        <v>0.01</v>
      </c>
      <c r="I81" s="297">
        <v>0.33</v>
      </c>
      <c r="J81" s="297">
        <v>5.14</v>
      </c>
      <c r="K81" s="299">
        <v>9.34</v>
      </c>
      <c r="L81" s="372"/>
      <c r="M81" s="377" t="str">
        <f t="shared" si="6"/>
        <v>CentrePrunier</v>
      </c>
      <c r="N81" s="377" t="str">
        <f t="shared" si="7"/>
        <v>CentrePrunierAutres</v>
      </c>
      <c r="P81" s="318" t="s">
        <v>17</v>
      </c>
      <c r="Q81" s="319" t="s">
        <v>170</v>
      </c>
      <c r="R81" s="319" t="s">
        <v>178</v>
      </c>
      <c r="S81" s="297"/>
      <c r="T81" s="297"/>
      <c r="U81" s="297"/>
      <c r="V81" s="299"/>
    </row>
    <row r="82" spans="2:22" ht="15.75" thickTop="1" x14ac:dyDescent="0.25">
      <c r="B82" s="371" t="str">
        <f t="shared" si="4"/>
        <v>Champagne-ArdenneAbricotier</v>
      </c>
      <c r="C82" s="371" t="str">
        <f t="shared" si="5"/>
        <v>Champagne-ArdenneAbricotierAbricotier</v>
      </c>
      <c r="E82" s="305" t="s">
        <v>18</v>
      </c>
      <c r="F82" s="306" t="s">
        <v>135</v>
      </c>
      <c r="G82" s="306" t="s">
        <v>135</v>
      </c>
      <c r="H82" s="295">
        <v>0.01</v>
      </c>
      <c r="I82" s="295">
        <v>0.62</v>
      </c>
      <c r="J82" s="295">
        <v>5.1100000000000003</v>
      </c>
      <c r="K82" s="298">
        <v>10.66</v>
      </c>
      <c r="L82" s="372"/>
      <c r="M82" s="377" t="str">
        <f t="shared" si="6"/>
        <v>Champagne-ArdenneAbricotier</v>
      </c>
      <c r="N82" s="377" t="str">
        <f t="shared" si="7"/>
        <v>Champagne-ArdenneAbricotierAbricotier</v>
      </c>
      <c r="P82" s="316" t="s">
        <v>18</v>
      </c>
      <c r="Q82" s="317" t="s">
        <v>135</v>
      </c>
      <c r="R82" s="317" t="s">
        <v>135</v>
      </c>
      <c r="S82" s="295"/>
      <c r="T82" s="295"/>
      <c r="U82" s="295"/>
      <c r="V82" s="298"/>
    </row>
    <row r="83" spans="2:22" x14ac:dyDescent="0.25">
      <c r="B83" s="371" t="str">
        <f t="shared" si="4"/>
        <v>Champagne-ArdenneAgrumes</v>
      </c>
      <c r="C83" s="371" t="str">
        <f t="shared" si="5"/>
        <v>Champagne-ArdenneAgrumesClémentinier</v>
      </c>
      <c r="E83" s="305" t="s">
        <v>18</v>
      </c>
      <c r="F83" s="306" t="s">
        <v>646</v>
      </c>
      <c r="G83" s="306" t="s">
        <v>143</v>
      </c>
      <c r="H83" s="295">
        <v>0</v>
      </c>
      <c r="I83" s="295">
        <v>0.3</v>
      </c>
      <c r="J83" s="295">
        <v>2</v>
      </c>
      <c r="K83" s="298">
        <v>5</v>
      </c>
      <c r="L83" s="372"/>
      <c r="M83" s="377" t="str">
        <f t="shared" si="6"/>
        <v>Champagne-ArdenneAgrumes</v>
      </c>
      <c r="N83" s="377" t="str">
        <f t="shared" si="7"/>
        <v>Champagne-ArdenneAgrumesClémentinier</v>
      </c>
      <c r="P83" s="316" t="s">
        <v>18</v>
      </c>
      <c r="Q83" s="317" t="s">
        <v>646</v>
      </c>
      <c r="R83" s="317" t="s">
        <v>143</v>
      </c>
      <c r="S83" s="295"/>
      <c r="T83" s="295"/>
      <c r="U83" s="295"/>
      <c r="V83" s="298"/>
    </row>
    <row r="84" spans="2:22" x14ac:dyDescent="0.25">
      <c r="B84" s="371" t="str">
        <f t="shared" si="4"/>
        <v>Champagne-ArdenneAutres</v>
      </c>
      <c r="C84" s="371" t="str">
        <f t="shared" si="5"/>
        <v>Champagne-ArdenneAutresPrunier</v>
      </c>
      <c r="E84" s="305" t="s">
        <v>18</v>
      </c>
      <c r="F84" s="306" t="s">
        <v>178</v>
      </c>
      <c r="G84" s="306" t="s">
        <v>170</v>
      </c>
      <c r="H84" s="295">
        <v>0.01</v>
      </c>
      <c r="I84" s="295">
        <v>0.33</v>
      </c>
      <c r="J84" s="295">
        <v>5.14</v>
      </c>
      <c r="K84" s="298">
        <v>9.34</v>
      </c>
      <c r="L84" s="372"/>
      <c r="M84" s="377" t="str">
        <f t="shared" si="6"/>
        <v>Champagne-ArdenneAutres</v>
      </c>
      <c r="N84" s="377" t="str">
        <f t="shared" si="7"/>
        <v>Champagne-ArdenneAutresPrunier</v>
      </c>
      <c r="P84" s="316" t="s">
        <v>18</v>
      </c>
      <c r="Q84" s="317" t="s">
        <v>178</v>
      </c>
      <c r="R84" s="317" t="s">
        <v>170</v>
      </c>
      <c r="S84" s="295"/>
      <c r="T84" s="295"/>
      <c r="U84" s="295"/>
      <c r="V84" s="298"/>
    </row>
    <row r="85" spans="2:22" x14ac:dyDescent="0.25">
      <c r="B85" s="371" t="str">
        <f t="shared" si="4"/>
        <v>Champagne-ArdenneCerisier</v>
      </c>
      <c r="C85" s="371" t="str">
        <f t="shared" si="5"/>
        <v>Champagne-ArdenneCerisierCerisier</v>
      </c>
      <c r="E85" s="305" t="s">
        <v>18</v>
      </c>
      <c r="F85" s="306" t="s">
        <v>140</v>
      </c>
      <c r="G85" s="306" t="s">
        <v>140</v>
      </c>
      <c r="H85" s="295">
        <v>0</v>
      </c>
      <c r="I85" s="295">
        <v>0.36</v>
      </c>
      <c r="J85" s="295">
        <v>4.0599999999999996</v>
      </c>
      <c r="K85" s="298">
        <v>8.0299999999999994</v>
      </c>
      <c r="L85" s="372"/>
      <c r="M85" s="377" t="str">
        <f t="shared" si="6"/>
        <v>Champagne-ArdenneCerisier</v>
      </c>
      <c r="N85" s="377" t="str">
        <f t="shared" si="7"/>
        <v>Champagne-ArdenneCerisierCerisier</v>
      </c>
      <c r="P85" s="316" t="s">
        <v>18</v>
      </c>
      <c r="Q85" s="317" t="s">
        <v>140</v>
      </c>
      <c r="R85" s="317" t="s">
        <v>140</v>
      </c>
      <c r="S85" s="295"/>
      <c r="T85" s="295"/>
      <c r="U85" s="295"/>
      <c r="V85" s="298"/>
    </row>
    <row r="86" spans="2:22" x14ac:dyDescent="0.25">
      <c r="B86" s="371" t="str">
        <f t="shared" si="4"/>
        <v>Champagne-ArdenneMirabellier</v>
      </c>
      <c r="C86" s="371" t="str">
        <f t="shared" si="5"/>
        <v>Champagne-ArdenneMirabellierAutres</v>
      </c>
      <c r="E86" s="305" t="s">
        <v>18</v>
      </c>
      <c r="F86" s="306" t="s">
        <v>153</v>
      </c>
      <c r="G86" s="306" t="s">
        <v>178</v>
      </c>
      <c r="H86" s="295">
        <v>0.01</v>
      </c>
      <c r="I86" s="295">
        <v>0.33</v>
      </c>
      <c r="J86" s="295">
        <v>5.14</v>
      </c>
      <c r="K86" s="298">
        <v>9.34</v>
      </c>
      <c r="L86" s="372"/>
      <c r="M86" s="377" t="str">
        <f t="shared" si="6"/>
        <v>Champagne-ArdenneMirabellier</v>
      </c>
      <c r="N86" s="377" t="str">
        <f t="shared" si="7"/>
        <v>Champagne-ArdenneMirabellierAutres</v>
      </c>
      <c r="P86" s="316" t="s">
        <v>18</v>
      </c>
      <c r="Q86" s="317" t="s">
        <v>153</v>
      </c>
      <c r="R86" s="317" t="s">
        <v>178</v>
      </c>
      <c r="S86" s="295"/>
      <c r="T86" s="295"/>
      <c r="U86" s="295"/>
      <c r="V86" s="298"/>
    </row>
    <row r="87" spans="2:22" x14ac:dyDescent="0.25">
      <c r="B87" s="371" t="str">
        <f t="shared" si="4"/>
        <v>Champagne-ArdenneNectarinier</v>
      </c>
      <c r="C87" s="371" t="str">
        <f t="shared" si="5"/>
        <v>Champagne-ArdenneNectarinierNectarinier-Pêcher</v>
      </c>
      <c r="E87" s="305" t="s">
        <v>18</v>
      </c>
      <c r="F87" s="306" t="s">
        <v>159</v>
      </c>
      <c r="G87" s="306" t="s">
        <v>647</v>
      </c>
      <c r="H87" s="295">
        <v>0.03</v>
      </c>
      <c r="I87" s="295">
        <v>0.84</v>
      </c>
      <c r="J87" s="295">
        <v>9.25</v>
      </c>
      <c r="K87" s="298">
        <v>19.38</v>
      </c>
      <c r="L87" s="372"/>
      <c r="M87" s="377" t="str">
        <f t="shared" si="6"/>
        <v>Champagne-ArdenneNectarinier</v>
      </c>
      <c r="N87" s="377" t="str">
        <f t="shared" si="7"/>
        <v>Champagne-ArdenneNectarinierNectarinier-Pêcher</v>
      </c>
      <c r="P87" s="316" t="s">
        <v>18</v>
      </c>
      <c r="Q87" s="317" t="s">
        <v>159</v>
      </c>
      <c r="R87" s="317" t="s">
        <v>647</v>
      </c>
      <c r="S87" s="295"/>
      <c r="T87" s="295"/>
      <c r="U87" s="295"/>
      <c r="V87" s="298"/>
    </row>
    <row r="88" spans="2:22" x14ac:dyDescent="0.25">
      <c r="B88" s="371" t="str">
        <f t="shared" si="4"/>
        <v>Champagne-ArdenneNoyer</v>
      </c>
      <c r="C88" s="371" t="str">
        <f t="shared" si="5"/>
        <v>Champagne-ArdenneNoyerAutres</v>
      </c>
      <c r="E88" s="305" t="s">
        <v>18</v>
      </c>
      <c r="F88" s="306" t="s">
        <v>162</v>
      </c>
      <c r="G88" s="306" t="s">
        <v>178</v>
      </c>
      <c r="H88" s="295">
        <v>0.01</v>
      </c>
      <c r="I88" s="295">
        <v>0.33</v>
      </c>
      <c r="J88" s="295">
        <v>5.14</v>
      </c>
      <c r="K88" s="298">
        <v>9.34</v>
      </c>
      <c r="L88" s="372"/>
      <c r="M88" s="377" t="str">
        <f t="shared" si="6"/>
        <v>Champagne-ArdenneNoyer</v>
      </c>
      <c r="N88" s="377" t="str">
        <f t="shared" si="7"/>
        <v>Champagne-ArdenneNoyerAutres</v>
      </c>
      <c r="P88" s="316" t="s">
        <v>18</v>
      </c>
      <c r="Q88" s="317" t="s">
        <v>162</v>
      </c>
      <c r="R88" s="317" t="s">
        <v>178</v>
      </c>
      <c r="S88" s="295"/>
      <c r="T88" s="295"/>
      <c r="U88" s="295"/>
      <c r="V88" s="298"/>
    </row>
    <row r="89" spans="2:22" x14ac:dyDescent="0.25">
      <c r="B89" s="371" t="str">
        <f t="shared" si="4"/>
        <v>Champagne-ArdennePêcher</v>
      </c>
      <c r="C89" s="371" t="str">
        <f t="shared" si="5"/>
        <v>Champagne-ArdennePêcherNectarinier-Pêcher</v>
      </c>
      <c r="E89" s="305" t="s">
        <v>18</v>
      </c>
      <c r="F89" s="306" t="s">
        <v>166</v>
      </c>
      <c r="G89" s="306" t="s">
        <v>647</v>
      </c>
      <c r="H89" s="295">
        <v>0.03</v>
      </c>
      <c r="I89" s="295">
        <v>0.84</v>
      </c>
      <c r="J89" s="295">
        <v>9.25</v>
      </c>
      <c r="K89" s="298">
        <v>19.38</v>
      </c>
      <c r="L89" s="372"/>
      <c r="M89" s="377" t="str">
        <f t="shared" si="6"/>
        <v>Champagne-ArdennePêcher</v>
      </c>
      <c r="N89" s="377" t="str">
        <f t="shared" si="7"/>
        <v>Champagne-ArdennePêcherNectarinier-Pêcher</v>
      </c>
      <c r="P89" s="316" t="s">
        <v>18</v>
      </c>
      <c r="Q89" s="317" t="s">
        <v>166</v>
      </c>
      <c r="R89" s="317" t="s">
        <v>647</v>
      </c>
      <c r="S89" s="295"/>
      <c r="T89" s="295"/>
      <c r="U89" s="295"/>
      <c r="V89" s="298"/>
    </row>
    <row r="90" spans="2:22" x14ac:dyDescent="0.25">
      <c r="B90" s="371" t="str">
        <f t="shared" si="4"/>
        <v>Champagne-ArdennePoirier</v>
      </c>
      <c r="C90" s="371" t="str">
        <f t="shared" si="5"/>
        <v>Champagne-ArdennePoirierAutres</v>
      </c>
      <c r="E90" s="305" t="s">
        <v>18</v>
      </c>
      <c r="F90" s="306" t="s">
        <v>167</v>
      </c>
      <c r="G90" s="306" t="s">
        <v>178</v>
      </c>
      <c r="H90" s="295">
        <v>0.01</v>
      </c>
      <c r="I90" s="295">
        <v>0.33</v>
      </c>
      <c r="J90" s="295">
        <v>5.14</v>
      </c>
      <c r="K90" s="298">
        <v>9.34</v>
      </c>
      <c r="L90" s="372"/>
      <c r="M90" s="377" t="str">
        <f t="shared" si="6"/>
        <v>Champagne-ArdennePoirier</v>
      </c>
      <c r="N90" s="377" t="str">
        <f t="shared" si="7"/>
        <v>Champagne-ArdennePoirierAutres</v>
      </c>
      <c r="P90" s="316" t="s">
        <v>18</v>
      </c>
      <c r="Q90" s="317" t="s">
        <v>167</v>
      </c>
      <c r="R90" s="317" t="s">
        <v>178</v>
      </c>
      <c r="S90" s="295"/>
      <c r="T90" s="295"/>
      <c r="U90" s="295"/>
      <c r="V90" s="298"/>
    </row>
    <row r="91" spans="2:22" x14ac:dyDescent="0.25">
      <c r="B91" s="371" t="str">
        <f t="shared" si="4"/>
        <v>Champagne-ArdennePommier</v>
      </c>
      <c r="C91" s="371" t="str">
        <f t="shared" si="5"/>
        <v>Champagne-ArdennePommierPommier</v>
      </c>
      <c r="E91" s="305" t="s">
        <v>18</v>
      </c>
      <c r="F91" s="306" t="s">
        <v>169</v>
      </c>
      <c r="G91" s="306" t="s">
        <v>169</v>
      </c>
      <c r="H91" s="295">
        <v>0.03</v>
      </c>
      <c r="I91" s="295">
        <v>0.84</v>
      </c>
      <c r="J91" s="295">
        <v>9.25</v>
      </c>
      <c r="K91" s="298">
        <v>19.38</v>
      </c>
      <c r="L91" s="372"/>
      <c r="M91" s="377" t="str">
        <f t="shared" si="6"/>
        <v>Champagne-ArdennePommier</v>
      </c>
      <c r="N91" s="377" t="str">
        <f t="shared" si="7"/>
        <v>Champagne-ArdennePommierPommier</v>
      </c>
      <c r="P91" s="316" t="s">
        <v>18</v>
      </c>
      <c r="Q91" s="317" t="s">
        <v>169</v>
      </c>
      <c r="R91" s="317" t="s">
        <v>169</v>
      </c>
      <c r="S91" s="295"/>
      <c r="T91" s="295"/>
      <c r="U91" s="295"/>
      <c r="V91" s="298"/>
    </row>
    <row r="92" spans="2:22" ht="15.75" thickBot="1" x14ac:dyDescent="0.3">
      <c r="B92" s="371" t="str">
        <f t="shared" si="4"/>
        <v>Champagne-ArdennePrunier</v>
      </c>
      <c r="C92" s="371" t="str">
        <f t="shared" si="5"/>
        <v>Champagne-ArdennePrunierAutres</v>
      </c>
      <c r="E92" s="307" t="s">
        <v>18</v>
      </c>
      <c r="F92" s="308" t="s">
        <v>170</v>
      </c>
      <c r="G92" s="308" t="s">
        <v>178</v>
      </c>
      <c r="H92" s="297">
        <v>0.01</v>
      </c>
      <c r="I92" s="297">
        <v>0.33</v>
      </c>
      <c r="J92" s="297">
        <v>5.14</v>
      </c>
      <c r="K92" s="299">
        <v>9.34</v>
      </c>
      <c r="L92" s="372"/>
      <c r="M92" s="377" t="str">
        <f t="shared" si="6"/>
        <v>Champagne-ArdennePrunier</v>
      </c>
      <c r="N92" s="377" t="str">
        <f t="shared" si="7"/>
        <v>Champagne-ArdennePrunierAutres</v>
      </c>
      <c r="P92" s="318" t="s">
        <v>18</v>
      </c>
      <c r="Q92" s="319" t="s">
        <v>170</v>
      </c>
      <c r="R92" s="319" t="s">
        <v>178</v>
      </c>
      <c r="S92" s="297"/>
      <c r="T92" s="297"/>
      <c r="U92" s="297"/>
      <c r="V92" s="299"/>
    </row>
    <row r="93" spans="2:22" ht="15.75" thickTop="1" x14ac:dyDescent="0.25">
      <c r="B93" s="371" t="str">
        <f t="shared" si="4"/>
        <v>CorseAbricotier</v>
      </c>
      <c r="C93" s="371" t="str">
        <f t="shared" si="5"/>
        <v>CorseAbricotierAbricotier</v>
      </c>
      <c r="E93" s="305" t="s">
        <v>19</v>
      </c>
      <c r="F93" s="306" t="s">
        <v>135</v>
      </c>
      <c r="G93" s="306" t="s">
        <v>135</v>
      </c>
      <c r="H93" s="295">
        <v>0.01</v>
      </c>
      <c r="I93" s="295">
        <v>0.62</v>
      </c>
      <c r="J93" s="295">
        <v>5.1100000000000003</v>
      </c>
      <c r="K93" s="298">
        <v>10.66</v>
      </c>
      <c r="L93" s="372"/>
      <c r="M93" s="377" t="str">
        <f t="shared" si="6"/>
        <v>CorseAbricotier</v>
      </c>
      <c r="N93" s="377" t="str">
        <f t="shared" si="7"/>
        <v>CorseAbricotierAbricotier</v>
      </c>
      <c r="P93" s="316" t="s">
        <v>19</v>
      </c>
      <c r="Q93" s="317" t="s">
        <v>135</v>
      </c>
      <c r="R93" s="317" t="s">
        <v>135</v>
      </c>
      <c r="S93" s="295"/>
      <c r="T93" s="295"/>
      <c r="U93" s="295"/>
      <c r="V93" s="298"/>
    </row>
    <row r="94" spans="2:22" x14ac:dyDescent="0.25">
      <c r="B94" s="371" t="str">
        <f t="shared" si="4"/>
        <v>CorseAgrumes</v>
      </c>
      <c r="C94" s="371" t="str">
        <f t="shared" si="5"/>
        <v>CorseAgrumesClémentinier</v>
      </c>
      <c r="E94" s="305" t="s">
        <v>19</v>
      </c>
      <c r="F94" s="306" t="s">
        <v>646</v>
      </c>
      <c r="G94" s="306" t="s">
        <v>143</v>
      </c>
      <c r="H94" s="295">
        <v>0</v>
      </c>
      <c r="I94" s="295">
        <v>0.3</v>
      </c>
      <c r="J94" s="295">
        <v>2</v>
      </c>
      <c r="K94" s="298">
        <v>5</v>
      </c>
      <c r="L94" s="372"/>
      <c r="M94" s="377" t="str">
        <f t="shared" si="6"/>
        <v>CorseAgrumes</v>
      </c>
      <c r="N94" s="377" t="str">
        <f t="shared" si="7"/>
        <v>CorseAgrumesClémentinier</v>
      </c>
      <c r="P94" s="316" t="s">
        <v>19</v>
      </c>
      <c r="Q94" s="317" t="s">
        <v>646</v>
      </c>
      <c r="R94" s="317" t="s">
        <v>143</v>
      </c>
      <c r="S94" s="295"/>
      <c r="T94" s="295"/>
      <c r="U94" s="295"/>
      <c r="V94" s="298"/>
    </row>
    <row r="95" spans="2:22" x14ac:dyDescent="0.25">
      <c r="B95" s="371" t="str">
        <f t="shared" si="4"/>
        <v>CorseAutres</v>
      </c>
      <c r="C95" s="371" t="str">
        <f t="shared" si="5"/>
        <v>CorseAutresPrunier</v>
      </c>
      <c r="E95" s="305" t="s">
        <v>19</v>
      </c>
      <c r="F95" s="306" t="s">
        <v>178</v>
      </c>
      <c r="G95" s="306" t="s">
        <v>170</v>
      </c>
      <c r="H95" s="295">
        <v>0.01</v>
      </c>
      <c r="I95" s="295">
        <v>0.33</v>
      </c>
      <c r="J95" s="295">
        <v>5.14</v>
      </c>
      <c r="K95" s="298">
        <v>9.34</v>
      </c>
      <c r="L95" s="372"/>
      <c r="M95" s="377" t="str">
        <f t="shared" si="6"/>
        <v>CorseAutres</v>
      </c>
      <c r="N95" s="377" t="str">
        <f t="shared" si="7"/>
        <v>CorseAutresPrunier</v>
      </c>
      <c r="P95" s="316" t="s">
        <v>19</v>
      </c>
      <c r="Q95" s="317" t="s">
        <v>178</v>
      </c>
      <c r="R95" s="317" t="s">
        <v>170</v>
      </c>
      <c r="S95" s="295"/>
      <c r="T95" s="295"/>
      <c r="U95" s="295"/>
      <c r="V95" s="298"/>
    </row>
    <row r="96" spans="2:22" x14ac:dyDescent="0.25">
      <c r="B96" s="371" t="str">
        <f t="shared" si="4"/>
        <v>CorseCerisier</v>
      </c>
      <c r="C96" s="371" t="str">
        <f t="shared" si="5"/>
        <v>CorseCerisierCerisier</v>
      </c>
      <c r="E96" s="305" t="s">
        <v>19</v>
      </c>
      <c r="F96" s="306" t="s">
        <v>140</v>
      </c>
      <c r="G96" s="306" t="s">
        <v>140</v>
      </c>
      <c r="H96" s="295">
        <v>0</v>
      </c>
      <c r="I96" s="295">
        <v>0.36</v>
      </c>
      <c r="J96" s="295">
        <v>4.0599999999999996</v>
      </c>
      <c r="K96" s="298">
        <v>8.0299999999999994</v>
      </c>
      <c r="L96" s="372"/>
      <c r="M96" s="377" t="str">
        <f t="shared" si="6"/>
        <v>CorseCerisier</v>
      </c>
      <c r="N96" s="377" t="str">
        <f t="shared" si="7"/>
        <v>CorseCerisierCerisier</v>
      </c>
      <c r="P96" s="316" t="s">
        <v>19</v>
      </c>
      <c r="Q96" s="317" t="s">
        <v>140</v>
      </c>
      <c r="R96" s="317" t="s">
        <v>140</v>
      </c>
      <c r="S96" s="295"/>
      <c r="T96" s="295"/>
      <c r="U96" s="295"/>
      <c r="V96" s="298"/>
    </row>
    <row r="97" spans="2:22" x14ac:dyDescent="0.25">
      <c r="B97" s="371" t="str">
        <f t="shared" si="4"/>
        <v>CorseMirabellier</v>
      </c>
      <c r="C97" s="371" t="str">
        <f t="shared" si="5"/>
        <v>CorseMirabellierAutres</v>
      </c>
      <c r="E97" s="305" t="s">
        <v>19</v>
      </c>
      <c r="F97" s="306" t="s">
        <v>153</v>
      </c>
      <c r="G97" s="306" t="s">
        <v>178</v>
      </c>
      <c r="H97" s="295">
        <v>0.01</v>
      </c>
      <c r="I97" s="295">
        <v>0.33</v>
      </c>
      <c r="J97" s="295">
        <v>5.14</v>
      </c>
      <c r="K97" s="298">
        <v>9.34</v>
      </c>
      <c r="L97" s="372"/>
      <c r="M97" s="377" t="str">
        <f t="shared" si="6"/>
        <v>CorseMirabellier</v>
      </c>
      <c r="N97" s="377" t="str">
        <f t="shared" si="7"/>
        <v>CorseMirabellierAutres</v>
      </c>
      <c r="P97" s="316" t="s">
        <v>19</v>
      </c>
      <c r="Q97" s="317" t="s">
        <v>153</v>
      </c>
      <c r="R97" s="317" t="s">
        <v>178</v>
      </c>
      <c r="S97" s="295"/>
      <c r="T97" s="295"/>
      <c r="U97" s="295"/>
      <c r="V97" s="298"/>
    </row>
    <row r="98" spans="2:22" x14ac:dyDescent="0.25">
      <c r="B98" s="371" t="str">
        <f t="shared" si="4"/>
        <v>CorseNectarinier</v>
      </c>
      <c r="C98" s="371" t="str">
        <f t="shared" si="5"/>
        <v>CorseNectarinierNectarinier-Pêcher</v>
      </c>
      <c r="E98" s="305" t="s">
        <v>19</v>
      </c>
      <c r="F98" s="306" t="s">
        <v>159</v>
      </c>
      <c r="G98" s="306" t="s">
        <v>647</v>
      </c>
      <c r="H98" s="295">
        <v>0.03</v>
      </c>
      <c r="I98" s="295">
        <v>0.84</v>
      </c>
      <c r="J98" s="295">
        <v>9.25</v>
      </c>
      <c r="K98" s="298">
        <v>19.38</v>
      </c>
      <c r="L98" s="372"/>
      <c r="M98" s="377" t="str">
        <f t="shared" si="6"/>
        <v>CorseNectarinier</v>
      </c>
      <c r="N98" s="377" t="str">
        <f t="shared" si="7"/>
        <v>CorseNectarinierNectarinier-Pêcher</v>
      </c>
      <c r="P98" s="316" t="s">
        <v>19</v>
      </c>
      <c r="Q98" s="317" t="s">
        <v>159</v>
      </c>
      <c r="R98" s="317" t="s">
        <v>647</v>
      </c>
      <c r="S98" s="295"/>
      <c r="T98" s="295"/>
      <c r="U98" s="295"/>
      <c r="V98" s="298"/>
    </row>
    <row r="99" spans="2:22" x14ac:dyDescent="0.25">
      <c r="B99" s="371" t="str">
        <f t="shared" si="4"/>
        <v>CorseNoyer</v>
      </c>
      <c r="C99" s="371" t="str">
        <f t="shared" si="5"/>
        <v>CorseNoyerAutres</v>
      </c>
      <c r="E99" s="305" t="s">
        <v>19</v>
      </c>
      <c r="F99" s="306" t="s">
        <v>162</v>
      </c>
      <c r="G99" s="306" t="s">
        <v>178</v>
      </c>
      <c r="H99" s="295">
        <v>0.01</v>
      </c>
      <c r="I99" s="295">
        <v>0.33</v>
      </c>
      <c r="J99" s="295">
        <v>5.14</v>
      </c>
      <c r="K99" s="298">
        <v>9.34</v>
      </c>
      <c r="L99" s="372"/>
      <c r="M99" s="377" t="str">
        <f t="shared" si="6"/>
        <v>CorseNoyer</v>
      </c>
      <c r="N99" s="377" t="str">
        <f t="shared" si="7"/>
        <v>CorseNoyerAutres</v>
      </c>
      <c r="P99" s="316" t="s">
        <v>19</v>
      </c>
      <c r="Q99" s="317" t="s">
        <v>162</v>
      </c>
      <c r="R99" s="317" t="s">
        <v>178</v>
      </c>
      <c r="S99" s="295"/>
      <c r="T99" s="295"/>
      <c r="U99" s="295"/>
      <c r="V99" s="298"/>
    </row>
    <row r="100" spans="2:22" x14ac:dyDescent="0.25">
      <c r="B100" s="371" t="str">
        <f t="shared" si="4"/>
        <v>CorsePêcher</v>
      </c>
      <c r="C100" s="371" t="str">
        <f t="shared" si="5"/>
        <v>CorsePêcherNectarinier-Pêcher</v>
      </c>
      <c r="E100" s="305" t="s">
        <v>19</v>
      </c>
      <c r="F100" s="306" t="s">
        <v>166</v>
      </c>
      <c r="G100" s="306" t="s">
        <v>647</v>
      </c>
      <c r="H100" s="295">
        <v>0.03</v>
      </c>
      <c r="I100" s="295">
        <v>0.84</v>
      </c>
      <c r="J100" s="295">
        <v>9.25</v>
      </c>
      <c r="K100" s="298">
        <v>19.38</v>
      </c>
      <c r="L100" s="372"/>
      <c r="M100" s="377" t="str">
        <f t="shared" si="6"/>
        <v>CorsePêcher</v>
      </c>
      <c r="N100" s="377" t="str">
        <f t="shared" si="7"/>
        <v>CorsePêcherNectarinier-Pêcher</v>
      </c>
      <c r="P100" s="316" t="s">
        <v>19</v>
      </c>
      <c r="Q100" s="317" t="s">
        <v>166</v>
      </c>
      <c r="R100" s="317" t="s">
        <v>647</v>
      </c>
      <c r="S100" s="295"/>
      <c r="T100" s="295"/>
      <c r="U100" s="295"/>
      <c r="V100" s="298"/>
    </row>
    <row r="101" spans="2:22" x14ac:dyDescent="0.25">
      <c r="B101" s="371" t="str">
        <f t="shared" si="4"/>
        <v>CorsePoirier</v>
      </c>
      <c r="C101" s="371" t="str">
        <f t="shared" si="5"/>
        <v>CorsePoirierAutres</v>
      </c>
      <c r="E101" s="305" t="s">
        <v>19</v>
      </c>
      <c r="F101" s="306" t="s">
        <v>167</v>
      </c>
      <c r="G101" s="306" t="s">
        <v>178</v>
      </c>
      <c r="H101" s="295">
        <v>0.01</v>
      </c>
      <c r="I101" s="295">
        <v>0.33</v>
      </c>
      <c r="J101" s="295">
        <v>5.14</v>
      </c>
      <c r="K101" s="298">
        <v>9.34</v>
      </c>
      <c r="L101" s="372"/>
      <c r="M101" s="377" t="str">
        <f t="shared" si="6"/>
        <v>CorsePoirier</v>
      </c>
      <c r="N101" s="377" t="str">
        <f t="shared" si="7"/>
        <v>CorsePoirierAutres</v>
      </c>
      <c r="P101" s="316" t="s">
        <v>19</v>
      </c>
      <c r="Q101" s="317" t="s">
        <v>167</v>
      </c>
      <c r="R101" s="317" t="s">
        <v>178</v>
      </c>
      <c r="S101" s="295"/>
      <c r="T101" s="295"/>
      <c r="U101" s="295"/>
      <c r="V101" s="298"/>
    </row>
    <row r="102" spans="2:22" x14ac:dyDescent="0.25">
      <c r="B102" s="371" t="str">
        <f t="shared" si="4"/>
        <v>CorsePommier</v>
      </c>
      <c r="C102" s="371" t="str">
        <f t="shared" si="5"/>
        <v>CorsePommierPommier</v>
      </c>
      <c r="E102" s="305" t="s">
        <v>19</v>
      </c>
      <c r="F102" s="306" t="s">
        <v>169</v>
      </c>
      <c r="G102" s="306" t="s">
        <v>169</v>
      </c>
      <c r="H102" s="295">
        <v>0.03</v>
      </c>
      <c r="I102" s="295">
        <v>0.84</v>
      </c>
      <c r="J102" s="295">
        <v>9.25</v>
      </c>
      <c r="K102" s="298">
        <v>19.38</v>
      </c>
      <c r="L102" s="372"/>
      <c r="M102" s="377" t="str">
        <f t="shared" si="6"/>
        <v>CorsePommier</v>
      </c>
      <c r="N102" s="377" t="str">
        <f t="shared" si="7"/>
        <v>CorsePommierPommier</v>
      </c>
      <c r="P102" s="316" t="s">
        <v>19</v>
      </c>
      <c r="Q102" s="317" t="s">
        <v>169</v>
      </c>
      <c r="R102" s="317" t="s">
        <v>169</v>
      </c>
      <c r="S102" s="295"/>
      <c r="T102" s="295"/>
      <c r="U102" s="295"/>
      <c r="V102" s="298"/>
    </row>
    <row r="103" spans="2:22" ht="15.75" thickBot="1" x14ac:dyDescent="0.3">
      <c r="B103" s="371" t="str">
        <f t="shared" si="4"/>
        <v>CorsePrunier</v>
      </c>
      <c r="C103" s="371" t="str">
        <f t="shared" si="5"/>
        <v>CorsePrunierAutres</v>
      </c>
      <c r="E103" s="307" t="s">
        <v>19</v>
      </c>
      <c r="F103" s="308" t="s">
        <v>170</v>
      </c>
      <c r="G103" s="308" t="s">
        <v>178</v>
      </c>
      <c r="H103" s="297">
        <v>0.01</v>
      </c>
      <c r="I103" s="297">
        <v>0.33</v>
      </c>
      <c r="J103" s="297">
        <v>5.14</v>
      </c>
      <c r="K103" s="299">
        <v>9.34</v>
      </c>
      <c r="L103" s="372"/>
      <c r="M103" s="377" t="str">
        <f t="shared" si="6"/>
        <v>CorsePrunier</v>
      </c>
      <c r="N103" s="377" t="str">
        <f t="shared" si="7"/>
        <v>CorsePrunierAutres</v>
      </c>
      <c r="P103" s="318" t="s">
        <v>19</v>
      </c>
      <c r="Q103" s="319" t="s">
        <v>170</v>
      </c>
      <c r="R103" s="319" t="s">
        <v>178</v>
      </c>
      <c r="S103" s="297"/>
      <c r="T103" s="297"/>
      <c r="U103" s="297"/>
      <c r="V103" s="299"/>
    </row>
    <row r="104" spans="2:22" ht="15.75" thickTop="1" x14ac:dyDescent="0.25">
      <c r="B104" s="371" t="str">
        <f t="shared" si="4"/>
        <v>Franche-ComtéAbricotier</v>
      </c>
      <c r="C104" s="371" t="str">
        <f t="shared" si="5"/>
        <v>Franche-ComtéAbricotierAbricotier</v>
      </c>
      <c r="E104" s="305" t="s">
        <v>20</v>
      </c>
      <c r="F104" s="306" t="s">
        <v>135</v>
      </c>
      <c r="G104" s="306" t="s">
        <v>135</v>
      </c>
      <c r="H104" s="295">
        <v>0.01</v>
      </c>
      <c r="I104" s="295">
        <v>0.62</v>
      </c>
      <c r="J104" s="295">
        <v>5.1100000000000003</v>
      </c>
      <c r="K104" s="298">
        <v>10.66</v>
      </c>
      <c r="L104" s="372"/>
      <c r="M104" s="377" t="str">
        <f t="shared" si="6"/>
        <v>Franche-ComtéAbricotier</v>
      </c>
      <c r="N104" s="377" t="str">
        <f t="shared" si="7"/>
        <v>Franche-ComtéAbricotierAbricotier</v>
      </c>
      <c r="P104" s="316" t="s">
        <v>20</v>
      </c>
      <c r="Q104" s="317" t="s">
        <v>135</v>
      </c>
      <c r="R104" s="317" t="s">
        <v>135</v>
      </c>
      <c r="S104" s="295"/>
      <c r="T104" s="295"/>
      <c r="U104" s="295"/>
      <c r="V104" s="298"/>
    </row>
    <row r="105" spans="2:22" x14ac:dyDescent="0.25">
      <c r="B105" s="371" t="str">
        <f t="shared" si="4"/>
        <v>Franche-ComtéAgrumes</v>
      </c>
      <c r="C105" s="371" t="str">
        <f t="shared" si="5"/>
        <v>Franche-ComtéAgrumesClémentinier</v>
      </c>
      <c r="E105" s="305" t="s">
        <v>20</v>
      </c>
      <c r="F105" s="306" t="s">
        <v>646</v>
      </c>
      <c r="G105" s="306" t="s">
        <v>143</v>
      </c>
      <c r="H105" s="295">
        <v>0</v>
      </c>
      <c r="I105" s="295">
        <v>0.3</v>
      </c>
      <c r="J105" s="295">
        <v>2</v>
      </c>
      <c r="K105" s="298">
        <v>5</v>
      </c>
      <c r="L105" s="372"/>
      <c r="M105" s="377" t="str">
        <f t="shared" si="6"/>
        <v>Franche-ComtéAgrumes</v>
      </c>
      <c r="N105" s="377" t="str">
        <f t="shared" si="7"/>
        <v>Franche-ComtéAgrumesClémentinier</v>
      </c>
      <c r="P105" s="316" t="s">
        <v>20</v>
      </c>
      <c r="Q105" s="317" t="s">
        <v>646</v>
      </c>
      <c r="R105" s="317" t="s">
        <v>143</v>
      </c>
      <c r="S105" s="295"/>
      <c r="T105" s="295"/>
      <c r="U105" s="295"/>
      <c r="V105" s="298"/>
    </row>
    <row r="106" spans="2:22" x14ac:dyDescent="0.25">
      <c r="B106" s="371" t="str">
        <f t="shared" si="4"/>
        <v>Franche-ComtéAutres</v>
      </c>
      <c r="C106" s="371" t="str">
        <f t="shared" si="5"/>
        <v>Franche-ComtéAutresPrunier</v>
      </c>
      <c r="E106" s="305" t="s">
        <v>20</v>
      </c>
      <c r="F106" s="306" t="s">
        <v>178</v>
      </c>
      <c r="G106" s="306" t="s">
        <v>170</v>
      </c>
      <c r="H106" s="295">
        <v>0.01</v>
      </c>
      <c r="I106" s="295">
        <v>0.33</v>
      </c>
      <c r="J106" s="295">
        <v>5.14</v>
      </c>
      <c r="K106" s="298">
        <v>9.34</v>
      </c>
      <c r="L106" s="372"/>
      <c r="M106" s="377" t="str">
        <f t="shared" si="6"/>
        <v>Franche-ComtéAutres</v>
      </c>
      <c r="N106" s="377" t="str">
        <f t="shared" si="7"/>
        <v>Franche-ComtéAutresPrunier</v>
      </c>
      <c r="P106" s="316" t="s">
        <v>20</v>
      </c>
      <c r="Q106" s="317" t="s">
        <v>178</v>
      </c>
      <c r="R106" s="317" t="s">
        <v>170</v>
      </c>
      <c r="S106" s="295"/>
      <c r="T106" s="295"/>
      <c r="U106" s="295"/>
      <c r="V106" s="298"/>
    </row>
    <row r="107" spans="2:22" x14ac:dyDescent="0.25">
      <c r="B107" s="371" t="str">
        <f t="shared" si="4"/>
        <v>Franche-ComtéCerisier</v>
      </c>
      <c r="C107" s="371" t="str">
        <f t="shared" si="5"/>
        <v>Franche-ComtéCerisierCerisier</v>
      </c>
      <c r="E107" s="305" t="s">
        <v>20</v>
      </c>
      <c r="F107" s="306" t="s">
        <v>140</v>
      </c>
      <c r="G107" s="306" t="s">
        <v>140</v>
      </c>
      <c r="H107" s="295">
        <v>0</v>
      </c>
      <c r="I107" s="295">
        <v>0.36</v>
      </c>
      <c r="J107" s="295">
        <v>4.0599999999999996</v>
      </c>
      <c r="K107" s="298">
        <v>8.0299999999999994</v>
      </c>
      <c r="L107" s="372"/>
      <c r="M107" s="377" t="str">
        <f t="shared" si="6"/>
        <v>Franche-ComtéCerisier</v>
      </c>
      <c r="N107" s="377" t="str">
        <f t="shared" si="7"/>
        <v>Franche-ComtéCerisierCerisier</v>
      </c>
      <c r="P107" s="316" t="s">
        <v>20</v>
      </c>
      <c r="Q107" s="317" t="s">
        <v>140</v>
      </c>
      <c r="R107" s="317" t="s">
        <v>140</v>
      </c>
      <c r="S107" s="295"/>
      <c r="T107" s="295"/>
      <c r="U107" s="295"/>
      <c r="V107" s="298"/>
    </row>
    <row r="108" spans="2:22" x14ac:dyDescent="0.25">
      <c r="B108" s="371" t="str">
        <f t="shared" si="4"/>
        <v>Franche-ComtéMirabellier</v>
      </c>
      <c r="C108" s="371" t="str">
        <f t="shared" si="5"/>
        <v>Franche-ComtéMirabellierAutres</v>
      </c>
      <c r="E108" s="305" t="s">
        <v>20</v>
      </c>
      <c r="F108" s="306" t="s">
        <v>153</v>
      </c>
      <c r="G108" s="306" t="s">
        <v>178</v>
      </c>
      <c r="H108" s="295">
        <v>0.01</v>
      </c>
      <c r="I108" s="295">
        <v>0.33</v>
      </c>
      <c r="J108" s="295">
        <v>5.14</v>
      </c>
      <c r="K108" s="298">
        <v>9.34</v>
      </c>
      <c r="L108" s="372"/>
      <c r="M108" s="377" t="str">
        <f t="shared" si="6"/>
        <v>Franche-ComtéMirabellier</v>
      </c>
      <c r="N108" s="377" t="str">
        <f t="shared" si="7"/>
        <v>Franche-ComtéMirabellierAutres</v>
      </c>
      <c r="P108" s="316" t="s">
        <v>20</v>
      </c>
      <c r="Q108" s="317" t="s">
        <v>153</v>
      </c>
      <c r="R108" s="317" t="s">
        <v>178</v>
      </c>
      <c r="S108" s="295"/>
      <c r="T108" s="295"/>
      <c r="U108" s="295"/>
      <c r="V108" s="298"/>
    </row>
    <row r="109" spans="2:22" x14ac:dyDescent="0.25">
      <c r="B109" s="371" t="str">
        <f t="shared" si="4"/>
        <v>Franche-ComtéNectarinier</v>
      </c>
      <c r="C109" s="371" t="str">
        <f t="shared" si="5"/>
        <v>Franche-ComtéNectarinierNectarinier-Pêcher</v>
      </c>
      <c r="E109" s="305" t="s">
        <v>20</v>
      </c>
      <c r="F109" s="306" t="s">
        <v>159</v>
      </c>
      <c r="G109" s="306" t="s">
        <v>647</v>
      </c>
      <c r="H109" s="295">
        <v>0.03</v>
      </c>
      <c r="I109" s="295">
        <v>0.84</v>
      </c>
      <c r="J109" s="295">
        <v>9.25</v>
      </c>
      <c r="K109" s="298">
        <v>19.38</v>
      </c>
      <c r="L109" s="372"/>
      <c r="M109" s="377" t="str">
        <f t="shared" si="6"/>
        <v>Franche-ComtéNectarinier</v>
      </c>
      <c r="N109" s="377" t="str">
        <f t="shared" si="7"/>
        <v>Franche-ComtéNectarinierNectarinier-Pêcher</v>
      </c>
      <c r="P109" s="316" t="s">
        <v>20</v>
      </c>
      <c r="Q109" s="317" t="s">
        <v>159</v>
      </c>
      <c r="R109" s="317" t="s">
        <v>647</v>
      </c>
      <c r="S109" s="295"/>
      <c r="T109" s="295"/>
      <c r="U109" s="295"/>
      <c r="V109" s="298"/>
    </row>
    <row r="110" spans="2:22" x14ac:dyDescent="0.25">
      <c r="B110" s="371" t="str">
        <f t="shared" si="4"/>
        <v>Franche-ComtéNoyer</v>
      </c>
      <c r="C110" s="371" t="str">
        <f t="shared" si="5"/>
        <v>Franche-ComtéNoyerAutres</v>
      </c>
      <c r="E110" s="305" t="s">
        <v>20</v>
      </c>
      <c r="F110" s="306" t="s">
        <v>162</v>
      </c>
      <c r="G110" s="306" t="s">
        <v>178</v>
      </c>
      <c r="H110" s="295">
        <v>0.01</v>
      </c>
      <c r="I110" s="295">
        <v>0.33</v>
      </c>
      <c r="J110" s="295">
        <v>5.14</v>
      </c>
      <c r="K110" s="298">
        <v>9.34</v>
      </c>
      <c r="L110" s="372"/>
      <c r="M110" s="377" t="str">
        <f t="shared" si="6"/>
        <v>Franche-ComtéNoyer</v>
      </c>
      <c r="N110" s="377" t="str">
        <f t="shared" si="7"/>
        <v>Franche-ComtéNoyerAutres</v>
      </c>
      <c r="P110" s="316" t="s">
        <v>20</v>
      </c>
      <c r="Q110" s="317" t="s">
        <v>162</v>
      </c>
      <c r="R110" s="317" t="s">
        <v>178</v>
      </c>
      <c r="S110" s="295"/>
      <c r="T110" s="295"/>
      <c r="U110" s="295"/>
      <c r="V110" s="298"/>
    </row>
    <row r="111" spans="2:22" x14ac:dyDescent="0.25">
      <c r="B111" s="371" t="str">
        <f t="shared" si="4"/>
        <v>Franche-ComtéPêcher</v>
      </c>
      <c r="C111" s="371" t="str">
        <f t="shared" si="5"/>
        <v>Franche-ComtéPêcherNectarinier-Pêcher</v>
      </c>
      <c r="E111" s="305" t="s">
        <v>20</v>
      </c>
      <c r="F111" s="306" t="s">
        <v>166</v>
      </c>
      <c r="G111" s="306" t="s">
        <v>647</v>
      </c>
      <c r="H111" s="295">
        <v>0.03</v>
      </c>
      <c r="I111" s="295">
        <v>0.84</v>
      </c>
      <c r="J111" s="295">
        <v>9.25</v>
      </c>
      <c r="K111" s="298">
        <v>19.38</v>
      </c>
      <c r="L111" s="372"/>
      <c r="M111" s="377" t="str">
        <f t="shared" si="6"/>
        <v>Franche-ComtéPêcher</v>
      </c>
      <c r="N111" s="377" t="str">
        <f t="shared" si="7"/>
        <v>Franche-ComtéPêcherNectarinier-Pêcher</v>
      </c>
      <c r="P111" s="316" t="s">
        <v>20</v>
      </c>
      <c r="Q111" s="317" t="s">
        <v>166</v>
      </c>
      <c r="R111" s="317" t="s">
        <v>647</v>
      </c>
      <c r="S111" s="295"/>
      <c r="T111" s="295"/>
      <c r="U111" s="295"/>
      <c r="V111" s="298"/>
    </row>
    <row r="112" spans="2:22" x14ac:dyDescent="0.25">
      <c r="B112" s="371" t="str">
        <f t="shared" si="4"/>
        <v>Franche-ComtéPoirier</v>
      </c>
      <c r="C112" s="371" t="str">
        <f t="shared" si="5"/>
        <v>Franche-ComtéPoirierAutres</v>
      </c>
      <c r="E112" s="305" t="s">
        <v>20</v>
      </c>
      <c r="F112" s="306" t="s">
        <v>167</v>
      </c>
      <c r="G112" s="306" t="s">
        <v>178</v>
      </c>
      <c r="H112" s="295">
        <v>0.01</v>
      </c>
      <c r="I112" s="295">
        <v>0.33</v>
      </c>
      <c r="J112" s="295">
        <v>5.14</v>
      </c>
      <c r="K112" s="298">
        <v>9.34</v>
      </c>
      <c r="L112" s="372"/>
      <c r="M112" s="377" t="str">
        <f t="shared" si="6"/>
        <v>Franche-ComtéPoirier</v>
      </c>
      <c r="N112" s="377" t="str">
        <f t="shared" si="7"/>
        <v>Franche-ComtéPoirierAutres</v>
      </c>
      <c r="P112" s="316" t="s">
        <v>20</v>
      </c>
      <c r="Q112" s="317" t="s">
        <v>167</v>
      </c>
      <c r="R112" s="317" t="s">
        <v>178</v>
      </c>
      <c r="S112" s="295"/>
      <c r="T112" s="295"/>
      <c r="U112" s="295"/>
      <c r="V112" s="298"/>
    </row>
    <row r="113" spans="2:22" x14ac:dyDescent="0.25">
      <c r="B113" s="371" t="str">
        <f t="shared" si="4"/>
        <v>Franche-ComtéPommier</v>
      </c>
      <c r="C113" s="371" t="str">
        <f t="shared" si="5"/>
        <v>Franche-ComtéPommierPommier</v>
      </c>
      <c r="E113" s="305" t="s">
        <v>20</v>
      </c>
      <c r="F113" s="306" t="s">
        <v>169</v>
      </c>
      <c r="G113" s="306" t="s">
        <v>169</v>
      </c>
      <c r="H113" s="295">
        <v>0.03</v>
      </c>
      <c r="I113" s="295">
        <v>0.84</v>
      </c>
      <c r="J113" s="295">
        <v>9.25</v>
      </c>
      <c r="K113" s="298">
        <v>19.38</v>
      </c>
      <c r="L113" s="372"/>
      <c r="M113" s="377" t="str">
        <f t="shared" si="6"/>
        <v>Franche-ComtéPommier</v>
      </c>
      <c r="N113" s="377" t="str">
        <f t="shared" si="7"/>
        <v>Franche-ComtéPommierPommier</v>
      </c>
      <c r="P113" s="316" t="s">
        <v>20</v>
      </c>
      <c r="Q113" s="317" t="s">
        <v>169</v>
      </c>
      <c r="R113" s="317" t="s">
        <v>169</v>
      </c>
      <c r="S113" s="295"/>
      <c r="T113" s="295"/>
      <c r="U113" s="295"/>
      <c r="V113" s="298"/>
    </row>
    <row r="114" spans="2:22" ht="15.75" thickBot="1" x14ac:dyDescent="0.3">
      <c r="B114" s="371" t="str">
        <f t="shared" si="4"/>
        <v>Franche-ComtéPrunier</v>
      </c>
      <c r="C114" s="371" t="str">
        <f t="shared" si="5"/>
        <v>Franche-ComtéPrunierAutres</v>
      </c>
      <c r="E114" s="307" t="s">
        <v>20</v>
      </c>
      <c r="F114" s="308" t="s">
        <v>170</v>
      </c>
      <c r="G114" s="308" t="s">
        <v>178</v>
      </c>
      <c r="H114" s="297">
        <v>0.01</v>
      </c>
      <c r="I114" s="297">
        <v>0.33</v>
      </c>
      <c r="J114" s="297">
        <v>5.14</v>
      </c>
      <c r="K114" s="299">
        <v>9.34</v>
      </c>
      <c r="L114" s="372"/>
      <c r="M114" s="377" t="str">
        <f t="shared" si="6"/>
        <v>Franche-ComtéPrunier</v>
      </c>
      <c r="N114" s="377" t="str">
        <f t="shared" si="7"/>
        <v>Franche-ComtéPrunierAutres</v>
      </c>
      <c r="P114" s="318" t="s">
        <v>20</v>
      </c>
      <c r="Q114" s="319" t="s">
        <v>170</v>
      </c>
      <c r="R114" s="319" t="s">
        <v>178</v>
      </c>
      <c r="S114" s="297"/>
      <c r="T114" s="297"/>
      <c r="U114" s="297"/>
      <c r="V114" s="299"/>
    </row>
    <row r="115" spans="2:22" ht="15.75" thickTop="1" x14ac:dyDescent="0.25">
      <c r="B115" s="371" t="str">
        <f t="shared" si="4"/>
        <v>GuadeloupeAbricotier</v>
      </c>
      <c r="C115" s="371" t="str">
        <f t="shared" si="5"/>
        <v>GuadeloupeAbricotierBananier</v>
      </c>
      <c r="E115" s="305" t="s">
        <v>294</v>
      </c>
      <c r="F115" s="306" t="s">
        <v>135</v>
      </c>
      <c r="G115" s="306" t="s">
        <v>179</v>
      </c>
      <c r="H115" s="295">
        <v>0.57999999999999996</v>
      </c>
      <c r="I115" s="295">
        <v>1.99</v>
      </c>
      <c r="J115" s="295">
        <v>1.48</v>
      </c>
      <c r="K115" s="298">
        <v>4.67</v>
      </c>
      <c r="L115" s="372"/>
      <c r="M115" s="377" t="str">
        <f t="shared" si="6"/>
        <v>GuadeloupeAbricotier</v>
      </c>
      <c r="N115" s="377" t="str">
        <f t="shared" si="7"/>
        <v>GuadeloupeAbricotierBananier</v>
      </c>
      <c r="P115" s="316" t="s">
        <v>294</v>
      </c>
      <c r="Q115" s="317" t="s">
        <v>135</v>
      </c>
      <c r="R115" s="317" t="s">
        <v>179</v>
      </c>
      <c r="S115" s="295"/>
      <c r="T115" s="295"/>
      <c r="U115" s="295"/>
      <c r="V115" s="298"/>
    </row>
    <row r="116" spans="2:22" x14ac:dyDescent="0.25">
      <c r="B116" s="371" t="str">
        <f t="shared" si="4"/>
        <v>GuadeloupeAgrumes</v>
      </c>
      <c r="C116" s="371" t="str">
        <f t="shared" si="5"/>
        <v>GuadeloupeAgrumesBananier</v>
      </c>
      <c r="E116" s="305" t="s">
        <v>294</v>
      </c>
      <c r="F116" s="306" t="s">
        <v>646</v>
      </c>
      <c r="G116" s="306" t="s">
        <v>179</v>
      </c>
      <c r="H116" s="295">
        <v>0.57999999999999996</v>
      </c>
      <c r="I116" s="295">
        <v>1.99</v>
      </c>
      <c r="J116" s="295">
        <v>1.48</v>
      </c>
      <c r="K116" s="298">
        <v>4.67</v>
      </c>
      <c r="L116" s="372"/>
      <c r="M116" s="377" t="str">
        <f t="shared" si="6"/>
        <v>GuadeloupeAgrumes</v>
      </c>
      <c r="N116" s="377" t="str">
        <f t="shared" si="7"/>
        <v>GuadeloupeAgrumesBananier</v>
      </c>
      <c r="P116" s="316" t="s">
        <v>294</v>
      </c>
      <c r="Q116" s="317" t="s">
        <v>646</v>
      </c>
      <c r="R116" s="317" t="s">
        <v>179</v>
      </c>
      <c r="S116" s="295"/>
      <c r="T116" s="295"/>
      <c r="U116" s="295"/>
      <c r="V116" s="298"/>
    </row>
    <row r="117" spans="2:22" x14ac:dyDescent="0.25">
      <c r="B117" s="371" t="str">
        <f t="shared" si="4"/>
        <v>GuadeloupeAutres</v>
      </c>
      <c r="C117" s="371" t="str">
        <f t="shared" si="5"/>
        <v>GuadeloupeAutresBananier</v>
      </c>
      <c r="E117" s="305" t="s">
        <v>294</v>
      </c>
      <c r="F117" s="306" t="s">
        <v>178</v>
      </c>
      <c r="G117" s="306" t="s">
        <v>179</v>
      </c>
      <c r="H117" s="295">
        <v>0.57999999999999996</v>
      </c>
      <c r="I117" s="295">
        <v>1.99</v>
      </c>
      <c r="J117" s="295">
        <v>1.48</v>
      </c>
      <c r="K117" s="298">
        <v>4.67</v>
      </c>
      <c r="L117" s="372"/>
      <c r="M117" s="377" t="str">
        <f t="shared" si="6"/>
        <v>GuadeloupeAutres</v>
      </c>
      <c r="N117" s="377" t="str">
        <f t="shared" si="7"/>
        <v>GuadeloupeAutresBananier</v>
      </c>
      <c r="P117" s="316" t="s">
        <v>294</v>
      </c>
      <c r="Q117" s="317" t="s">
        <v>178</v>
      </c>
      <c r="R117" s="317" t="s">
        <v>179</v>
      </c>
      <c r="S117" s="295"/>
      <c r="T117" s="295"/>
      <c r="U117" s="295"/>
      <c r="V117" s="298"/>
    </row>
    <row r="118" spans="2:22" x14ac:dyDescent="0.25">
      <c r="B118" s="371" t="str">
        <f t="shared" si="4"/>
        <v>GuadeloupeBananier</v>
      </c>
      <c r="C118" s="371" t="str">
        <f t="shared" si="5"/>
        <v>GuadeloupeBananierBananier</v>
      </c>
      <c r="E118" s="305" t="s">
        <v>294</v>
      </c>
      <c r="F118" s="306" t="s">
        <v>179</v>
      </c>
      <c r="G118" s="306" t="s">
        <v>179</v>
      </c>
      <c r="H118" s="295">
        <v>0.57999999999999996</v>
      </c>
      <c r="I118" s="295">
        <v>1.99</v>
      </c>
      <c r="J118" s="295">
        <v>1.48</v>
      </c>
      <c r="K118" s="298">
        <v>4.67</v>
      </c>
      <c r="L118" s="372"/>
      <c r="M118" s="377" t="str">
        <f t="shared" si="6"/>
        <v>GuadeloupeBananier</v>
      </c>
      <c r="N118" s="377" t="str">
        <f t="shared" si="7"/>
        <v>GuadeloupeBananierBananier</v>
      </c>
      <c r="P118" s="316" t="s">
        <v>294</v>
      </c>
      <c r="Q118" s="317" t="s">
        <v>179</v>
      </c>
      <c r="R118" s="317" t="s">
        <v>179</v>
      </c>
      <c r="S118" s="295"/>
      <c r="T118" s="295"/>
      <c r="U118" s="295"/>
      <c r="V118" s="298"/>
    </row>
    <row r="119" spans="2:22" x14ac:dyDescent="0.25">
      <c r="B119" s="371" t="str">
        <f t="shared" si="4"/>
        <v>GuadeloupeCerisier</v>
      </c>
      <c r="C119" s="371" t="str">
        <f t="shared" si="5"/>
        <v>GuadeloupeCerisierBananier</v>
      </c>
      <c r="E119" s="305" t="s">
        <v>294</v>
      </c>
      <c r="F119" s="306" t="s">
        <v>140</v>
      </c>
      <c r="G119" s="306" t="s">
        <v>179</v>
      </c>
      <c r="H119" s="295">
        <v>0.57999999999999996</v>
      </c>
      <c r="I119" s="295">
        <v>1.99</v>
      </c>
      <c r="J119" s="295">
        <v>1.48</v>
      </c>
      <c r="K119" s="298">
        <v>4.67</v>
      </c>
      <c r="L119" s="372"/>
      <c r="M119" s="377" t="str">
        <f t="shared" si="6"/>
        <v>GuadeloupeCerisier</v>
      </c>
      <c r="N119" s="377" t="str">
        <f t="shared" si="7"/>
        <v>GuadeloupeCerisierBananier</v>
      </c>
      <c r="P119" s="316" t="s">
        <v>294</v>
      </c>
      <c r="Q119" s="317" t="s">
        <v>140</v>
      </c>
      <c r="R119" s="317" t="s">
        <v>179</v>
      </c>
      <c r="S119" s="295"/>
      <c r="T119" s="295"/>
      <c r="U119" s="295"/>
      <c r="V119" s="298"/>
    </row>
    <row r="120" spans="2:22" x14ac:dyDescent="0.25">
      <c r="B120" s="371" t="str">
        <f t="shared" si="4"/>
        <v>GuadeloupeMirabellier</v>
      </c>
      <c r="C120" s="371" t="str">
        <f t="shared" si="5"/>
        <v>GuadeloupeMirabellierBananier</v>
      </c>
      <c r="E120" s="305" t="s">
        <v>294</v>
      </c>
      <c r="F120" s="306" t="s">
        <v>153</v>
      </c>
      <c r="G120" s="306" t="s">
        <v>179</v>
      </c>
      <c r="H120" s="295">
        <v>0.57999999999999996</v>
      </c>
      <c r="I120" s="295">
        <v>1.99</v>
      </c>
      <c r="J120" s="295">
        <v>1.48</v>
      </c>
      <c r="K120" s="298">
        <v>4.67</v>
      </c>
      <c r="L120" s="372"/>
      <c r="M120" s="377" t="str">
        <f t="shared" si="6"/>
        <v>GuadeloupeMirabellier</v>
      </c>
      <c r="N120" s="377" t="str">
        <f t="shared" si="7"/>
        <v>GuadeloupeMirabellierBananier</v>
      </c>
      <c r="P120" s="316" t="s">
        <v>294</v>
      </c>
      <c r="Q120" s="317" t="s">
        <v>153</v>
      </c>
      <c r="R120" s="317" t="s">
        <v>179</v>
      </c>
      <c r="S120" s="295"/>
      <c r="T120" s="295"/>
      <c r="U120" s="295"/>
      <c r="V120" s="298"/>
    </row>
    <row r="121" spans="2:22" x14ac:dyDescent="0.25">
      <c r="B121" s="371" t="str">
        <f t="shared" si="4"/>
        <v>GuadeloupeNectarinier</v>
      </c>
      <c r="C121" s="371" t="str">
        <f t="shared" si="5"/>
        <v>GuadeloupeNectarinierBananier</v>
      </c>
      <c r="E121" s="305" t="s">
        <v>294</v>
      </c>
      <c r="F121" s="306" t="s">
        <v>159</v>
      </c>
      <c r="G121" s="306" t="s">
        <v>179</v>
      </c>
      <c r="H121" s="295">
        <v>0.57999999999999996</v>
      </c>
      <c r="I121" s="295">
        <v>1.99</v>
      </c>
      <c r="J121" s="295">
        <v>1.48</v>
      </c>
      <c r="K121" s="298">
        <v>4.67</v>
      </c>
      <c r="L121" s="372"/>
      <c r="M121" s="377" t="str">
        <f t="shared" si="6"/>
        <v>GuadeloupeNectarinier</v>
      </c>
      <c r="N121" s="377" t="str">
        <f t="shared" si="7"/>
        <v>GuadeloupeNectarinierBananier</v>
      </c>
      <c r="P121" s="316" t="s">
        <v>294</v>
      </c>
      <c r="Q121" s="317" t="s">
        <v>159</v>
      </c>
      <c r="R121" s="317" t="s">
        <v>179</v>
      </c>
      <c r="S121" s="295"/>
      <c r="T121" s="295"/>
      <c r="U121" s="295"/>
      <c r="V121" s="298"/>
    </row>
    <row r="122" spans="2:22" x14ac:dyDescent="0.25">
      <c r="B122" s="371" t="str">
        <f t="shared" si="4"/>
        <v>GuadeloupeNoyer</v>
      </c>
      <c r="C122" s="371" t="str">
        <f t="shared" si="5"/>
        <v>GuadeloupeNoyerBananier</v>
      </c>
      <c r="E122" s="305" t="s">
        <v>294</v>
      </c>
      <c r="F122" s="306" t="s">
        <v>162</v>
      </c>
      <c r="G122" s="306" t="s">
        <v>179</v>
      </c>
      <c r="H122" s="295">
        <v>0.57999999999999996</v>
      </c>
      <c r="I122" s="295">
        <v>1.99</v>
      </c>
      <c r="J122" s="295">
        <v>1.48</v>
      </c>
      <c r="K122" s="298">
        <v>4.67</v>
      </c>
      <c r="L122" s="372"/>
      <c r="M122" s="377" t="str">
        <f t="shared" si="6"/>
        <v>GuadeloupeNoyer</v>
      </c>
      <c r="N122" s="377" t="str">
        <f t="shared" si="7"/>
        <v>GuadeloupeNoyerBananier</v>
      </c>
      <c r="P122" s="316" t="s">
        <v>294</v>
      </c>
      <c r="Q122" s="317" t="s">
        <v>162</v>
      </c>
      <c r="R122" s="317" t="s">
        <v>179</v>
      </c>
      <c r="S122" s="295"/>
      <c r="T122" s="295"/>
      <c r="U122" s="295"/>
      <c r="V122" s="298"/>
    </row>
    <row r="123" spans="2:22" x14ac:dyDescent="0.25">
      <c r="B123" s="371" t="str">
        <f t="shared" si="4"/>
        <v>GuadeloupePêcher</v>
      </c>
      <c r="C123" s="371" t="str">
        <f t="shared" si="5"/>
        <v>GuadeloupePêcherBananier</v>
      </c>
      <c r="E123" s="305" t="s">
        <v>294</v>
      </c>
      <c r="F123" s="306" t="s">
        <v>166</v>
      </c>
      <c r="G123" s="306" t="s">
        <v>179</v>
      </c>
      <c r="H123" s="295">
        <v>0.57999999999999996</v>
      </c>
      <c r="I123" s="295">
        <v>1.99</v>
      </c>
      <c r="J123" s="295">
        <v>1.48</v>
      </c>
      <c r="K123" s="298">
        <v>4.67</v>
      </c>
      <c r="L123" s="372"/>
      <c r="M123" s="377" t="str">
        <f t="shared" si="6"/>
        <v>GuadeloupePêcher</v>
      </c>
      <c r="N123" s="377" t="str">
        <f t="shared" si="7"/>
        <v>GuadeloupePêcherBananier</v>
      </c>
      <c r="P123" s="316" t="s">
        <v>294</v>
      </c>
      <c r="Q123" s="317" t="s">
        <v>166</v>
      </c>
      <c r="R123" s="317" t="s">
        <v>179</v>
      </c>
      <c r="S123" s="295"/>
      <c r="T123" s="295"/>
      <c r="U123" s="295"/>
      <c r="V123" s="298"/>
    </row>
    <row r="124" spans="2:22" x14ac:dyDescent="0.25">
      <c r="B124" s="371" t="str">
        <f t="shared" si="4"/>
        <v>GuadeloupePoirier</v>
      </c>
      <c r="C124" s="371" t="str">
        <f t="shared" si="5"/>
        <v>GuadeloupePoirierBananier</v>
      </c>
      <c r="E124" s="305" t="s">
        <v>294</v>
      </c>
      <c r="F124" s="306" t="s">
        <v>167</v>
      </c>
      <c r="G124" s="306" t="s">
        <v>179</v>
      </c>
      <c r="H124" s="295">
        <v>0.57999999999999996</v>
      </c>
      <c r="I124" s="295">
        <v>1.99</v>
      </c>
      <c r="J124" s="295">
        <v>1.48</v>
      </c>
      <c r="K124" s="298">
        <v>4.67</v>
      </c>
      <c r="L124" s="372"/>
      <c r="M124" s="377" t="str">
        <f t="shared" si="6"/>
        <v>GuadeloupePoirier</v>
      </c>
      <c r="N124" s="377" t="str">
        <f t="shared" si="7"/>
        <v>GuadeloupePoirierBananier</v>
      </c>
      <c r="P124" s="316" t="s">
        <v>294</v>
      </c>
      <c r="Q124" s="317" t="s">
        <v>167</v>
      </c>
      <c r="R124" s="317" t="s">
        <v>179</v>
      </c>
      <c r="S124" s="295"/>
      <c r="T124" s="295"/>
      <c r="U124" s="295"/>
      <c r="V124" s="298"/>
    </row>
    <row r="125" spans="2:22" x14ac:dyDescent="0.25">
      <c r="B125" s="371" t="str">
        <f t="shared" si="4"/>
        <v>GuadeloupePommier</v>
      </c>
      <c r="C125" s="371" t="str">
        <f t="shared" si="5"/>
        <v>GuadeloupePommierBananier</v>
      </c>
      <c r="E125" s="305" t="s">
        <v>294</v>
      </c>
      <c r="F125" s="306" t="s">
        <v>169</v>
      </c>
      <c r="G125" s="306" t="s">
        <v>179</v>
      </c>
      <c r="H125" s="295">
        <v>0.57999999999999996</v>
      </c>
      <c r="I125" s="295">
        <v>1.99</v>
      </c>
      <c r="J125" s="295">
        <v>1.48</v>
      </c>
      <c r="K125" s="298">
        <v>4.67</v>
      </c>
      <c r="L125" s="372"/>
      <c r="M125" s="377" t="str">
        <f t="shared" si="6"/>
        <v>GuadeloupePommier</v>
      </c>
      <c r="N125" s="377" t="str">
        <f t="shared" si="7"/>
        <v>GuadeloupePommierBananier</v>
      </c>
      <c r="P125" s="316" t="s">
        <v>294</v>
      </c>
      <c r="Q125" s="317" t="s">
        <v>169</v>
      </c>
      <c r="R125" s="317" t="s">
        <v>179</v>
      </c>
      <c r="S125" s="295"/>
      <c r="T125" s="295"/>
      <c r="U125" s="295"/>
      <c r="V125" s="298"/>
    </row>
    <row r="126" spans="2:22" ht="15.75" thickBot="1" x14ac:dyDescent="0.3">
      <c r="B126" s="371" t="str">
        <f t="shared" si="4"/>
        <v>GuadeloupePrunier</v>
      </c>
      <c r="C126" s="371" t="str">
        <f t="shared" si="5"/>
        <v>GuadeloupePrunierBananier</v>
      </c>
      <c r="E126" s="307" t="s">
        <v>294</v>
      </c>
      <c r="F126" s="308" t="s">
        <v>170</v>
      </c>
      <c r="G126" s="308" t="s">
        <v>179</v>
      </c>
      <c r="H126" s="297">
        <v>0.57999999999999996</v>
      </c>
      <c r="I126" s="297">
        <v>1.99</v>
      </c>
      <c r="J126" s="297">
        <v>1.48</v>
      </c>
      <c r="K126" s="299">
        <v>4.67</v>
      </c>
      <c r="L126" s="372"/>
      <c r="M126" s="377" t="str">
        <f t="shared" si="6"/>
        <v>GuadeloupePrunier</v>
      </c>
      <c r="N126" s="377" t="str">
        <f t="shared" si="7"/>
        <v>GuadeloupePrunierBananier</v>
      </c>
      <c r="P126" s="318" t="s">
        <v>294</v>
      </c>
      <c r="Q126" s="319" t="s">
        <v>170</v>
      </c>
      <c r="R126" s="319" t="s">
        <v>179</v>
      </c>
      <c r="S126" s="297"/>
      <c r="T126" s="297"/>
      <c r="U126" s="297"/>
      <c r="V126" s="299"/>
    </row>
    <row r="127" spans="2:22" ht="15.75" thickTop="1" x14ac:dyDescent="0.25">
      <c r="B127" s="371" t="str">
        <f t="shared" si="4"/>
        <v>GuyaneAbricotier</v>
      </c>
      <c r="C127" s="371" t="str">
        <f t="shared" si="5"/>
        <v>GuyaneAbricotierAgrumes</v>
      </c>
      <c r="E127" s="305" t="s">
        <v>295</v>
      </c>
      <c r="F127" s="306" t="s">
        <v>135</v>
      </c>
      <c r="G127" s="306" t="s">
        <v>646</v>
      </c>
      <c r="H127" s="295">
        <v>0</v>
      </c>
      <c r="I127" s="295">
        <v>2.14</v>
      </c>
      <c r="J127" s="295">
        <v>0</v>
      </c>
      <c r="K127" s="298">
        <v>0</v>
      </c>
      <c r="L127" s="372"/>
      <c r="M127" s="377" t="str">
        <f t="shared" si="6"/>
        <v>GuyaneAbricotier</v>
      </c>
      <c r="N127" s="377" t="str">
        <f t="shared" si="7"/>
        <v>GuyaneAbricotierAgrumes</v>
      </c>
      <c r="P127" s="316" t="s">
        <v>295</v>
      </c>
      <c r="Q127" s="317" t="s">
        <v>135</v>
      </c>
      <c r="R127" s="317" t="s">
        <v>646</v>
      </c>
      <c r="S127" s="295"/>
      <c r="T127" s="295"/>
      <c r="U127" s="295"/>
      <c r="V127" s="298"/>
    </row>
    <row r="128" spans="2:22" x14ac:dyDescent="0.25">
      <c r="B128" s="371" t="str">
        <f t="shared" si="4"/>
        <v>GuyaneAgrumes</v>
      </c>
      <c r="C128" s="371" t="str">
        <f t="shared" si="5"/>
        <v>GuyaneAgrumesAgrumes</v>
      </c>
      <c r="E128" s="305" t="s">
        <v>295</v>
      </c>
      <c r="F128" s="306" t="s">
        <v>646</v>
      </c>
      <c r="G128" s="306" t="s">
        <v>646</v>
      </c>
      <c r="H128" s="295">
        <v>0</v>
      </c>
      <c r="I128" s="295">
        <v>2.14</v>
      </c>
      <c r="J128" s="295">
        <v>0</v>
      </c>
      <c r="K128" s="298">
        <v>0</v>
      </c>
      <c r="L128" s="372"/>
      <c r="M128" s="377" t="str">
        <f t="shared" si="6"/>
        <v>GuyaneAgrumes</v>
      </c>
      <c r="N128" s="377" t="str">
        <f t="shared" si="7"/>
        <v>GuyaneAgrumesAgrumes</v>
      </c>
      <c r="P128" s="316" t="s">
        <v>295</v>
      </c>
      <c r="Q128" s="317" t="s">
        <v>646</v>
      </c>
      <c r="R128" s="317" t="s">
        <v>646</v>
      </c>
      <c r="S128" s="295"/>
      <c r="T128" s="295"/>
      <c r="U128" s="295"/>
      <c r="V128" s="298"/>
    </row>
    <row r="129" spans="2:22" x14ac:dyDescent="0.25">
      <c r="B129" s="371" t="str">
        <f t="shared" si="4"/>
        <v>GuyaneAutres</v>
      </c>
      <c r="C129" s="371" t="str">
        <f t="shared" si="5"/>
        <v>GuyaneAutresAgrumes</v>
      </c>
      <c r="E129" s="305" t="s">
        <v>295</v>
      </c>
      <c r="F129" s="306" t="s">
        <v>178</v>
      </c>
      <c r="G129" s="306" t="s">
        <v>646</v>
      </c>
      <c r="H129" s="295">
        <v>0</v>
      </c>
      <c r="I129" s="295">
        <v>2.14</v>
      </c>
      <c r="J129" s="295">
        <v>0</v>
      </c>
      <c r="K129" s="298">
        <v>0</v>
      </c>
      <c r="L129" s="372"/>
      <c r="M129" s="377" t="str">
        <f t="shared" si="6"/>
        <v>GuyaneAutres</v>
      </c>
      <c r="N129" s="377" t="str">
        <f t="shared" si="7"/>
        <v>GuyaneAutresAgrumes</v>
      </c>
      <c r="P129" s="316" t="s">
        <v>295</v>
      </c>
      <c r="Q129" s="317" t="s">
        <v>178</v>
      </c>
      <c r="R129" s="317" t="s">
        <v>646</v>
      </c>
      <c r="S129" s="295"/>
      <c r="T129" s="295"/>
      <c r="U129" s="295"/>
      <c r="V129" s="298"/>
    </row>
    <row r="130" spans="2:22" x14ac:dyDescent="0.25">
      <c r="B130" s="371" t="str">
        <f t="shared" si="4"/>
        <v>GuyaneBananier</v>
      </c>
      <c r="C130" s="371" t="str">
        <f t="shared" si="5"/>
        <v>GuyaneBananierAgrumes</v>
      </c>
      <c r="E130" s="305" t="s">
        <v>295</v>
      </c>
      <c r="F130" s="306" t="s">
        <v>179</v>
      </c>
      <c r="G130" s="306" t="s">
        <v>646</v>
      </c>
      <c r="H130" s="295">
        <v>0</v>
      </c>
      <c r="I130" s="295">
        <v>2.14</v>
      </c>
      <c r="J130" s="295">
        <v>0</v>
      </c>
      <c r="K130" s="298">
        <v>0</v>
      </c>
      <c r="L130" s="372"/>
      <c r="M130" s="377" t="str">
        <f t="shared" si="6"/>
        <v>GuyaneBananier</v>
      </c>
      <c r="N130" s="377" t="str">
        <f t="shared" si="7"/>
        <v>GuyaneBananierAgrumes</v>
      </c>
      <c r="P130" s="316" t="s">
        <v>295</v>
      </c>
      <c r="Q130" s="317" t="s">
        <v>179</v>
      </c>
      <c r="R130" s="317" t="s">
        <v>646</v>
      </c>
      <c r="S130" s="295"/>
      <c r="T130" s="295"/>
      <c r="U130" s="295"/>
      <c r="V130" s="298"/>
    </row>
    <row r="131" spans="2:22" x14ac:dyDescent="0.25">
      <c r="B131" s="371" t="str">
        <f t="shared" si="4"/>
        <v>GuyaneCerisier</v>
      </c>
      <c r="C131" s="371" t="str">
        <f t="shared" si="5"/>
        <v>GuyaneCerisierAgrumes</v>
      </c>
      <c r="E131" s="305" t="s">
        <v>295</v>
      </c>
      <c r="F131" s="306" t="s">
        <v>140</v>
      </c>
      <c r="G131" s="306" t="s">
        <v>646</v>
      </c>
      <c r="H131" s="295">
        <v>0</v>
      </c>
      <c r="I131" s="295">
        <v>2.14</v>
      </c>
      <c r="J131" s="295">
        <v>0</v>
      </c>
      <c r="K131" s="298">
        <v>0</v>
      </c>
      <c r="L131" s="372"/>
      <c r="M131" s="377" t="str">
        <f t="shared" si="6"/>
        <v>GuyaneCerisier</v>
      </c>
      <c r="N131" s="377" t="str">
        <f t="shared" si="7"/>
        <v>GuyaneCerisierAgrumes</v>
      </c>
      <c r="P131" s="316" t="s">
        <v>295</v>
      </c>
      <c r="Q131" s="317" t="s">
        <v>140</v>
      </c>
      <c r="R131" s="317" t="s">
        <v>646</v>
      </c>
      <c r="S131" s="295"/>
      <c r="T131" s="295"/>
      <c r="U131" s="295"/>
      <c r="V131" s="298"/>
    </row>
    <row r="132" spans="2:22" x14ac:dyDescent="0.25">
      <c r="B132" s="371" t="str">
        <f t="shared" si="4"/>
        <v>GuyaneMirabellier</v>
      </c>
      <c r="C132" s="371" t="str">
        <f t="shared" si="5"/>
        <v>GuyaneMirabellierAgrumes</v>
      </c>
      <c r="E132" s="305" t="s">
        <v>295</v>
      </c>
      <c r="F132" s="306" t="s">
        <v>153</v>
      </c>
      <c r="G132" s="306" t="s">
        <v>646</v>
      </c>
      <c r="H132" s="295">
        <v>0</v>
      </c>
      <c r="I132" s="295">
        <v>2.14</v>
      </c>
      <c r="J132" s="295">
        <v>0</v>
      </c>
      <c r="K132" s="298">
        <v>0</v>
      </c>
      <c r="L132" s="372"/>
      <c r="M132" s="377" t="str">
        <f t="shared" si="6"/>
        <v>GuyaneMirabellier</v>
      </c>
      <c r="N132" s="377" t="str">
        <f t="shared" si="7"/>
        <v>GuyaneMirabellierAgrumes</v>
      </c>
      <c r="P132" s="316" t="s">
        <v>295</v>
      </c>
      <c r="Q132" s="317" t="s">
        <v>153</v>
      </c>
      <c r="R132" s="317" t="s">
        <v>646</v>
      </c>
      <c r="S132" s="295"/>
      <c r="T132" s="295"/>
      <c r="U132" s="295"/>
      <c r="V132" s="298"/>
    </row>
    <row r="133" spans="2:22" x14ac:dyDescent="0.25">
      <c r="B133" s="371" t="str">
        <f t="shared" si="4"/>
        <v>GuyaneNectarinier</v>
      </c>
      <c r="C133" s="371" t="str">
        <f t="shared" si="5"/>
        <v>GuyaneNectarinierAgrumes</v>
      </c>
      <c r="E133" s="305" t="s">
        <v>295</v>
      </c>
      <c r="F133" s="306" t="s">
        <v>159</v>
      </c>
      <c r="G133" s="306" t="s">
        <v>646</v>
      </c>
      <c r="H133" s="295">
        <v>0</v>
      </c>
      <c r="I133" s="295">
        <v>2.14</v>
      </c>
      <c r="J133" s="295">
        <v>0</v>
      </c>
      <c r="K133" s="298">
        <v>0</v>
      </c>
      <c r="L133" s="372"/>
      <c r="M133" s="377" t="str">
        <f t="shared" si="6"/>
        <v>GuyaneNectarinier</v>
      </c>
      <c r="N133" s="377" t="str">
        <f t="shared" si="7"/>
        <v>GuyaneNectarinierAgrumes</v>
      </c>
      <c r="P133" s="316" t="s">
        <v>295</v>
      </c>
      <c r="Q133" s="317" t="s">
        <v>159</v>
      </c>
      <c r="R133" s="317" t="s">
        <v>646</v>
      </c>
      <c r="S133" s="295"/>
      <c r="T133" s="295"/>
      <c r="U133" s="295"/>
      <c r="V133" s="298"/>
    </row>
    <row r="134" spans="2:22" x14ac:dyDescent="0.25">
      <c r="B134" s="371" t="str">
        <f t="shared" ref="B134:B197" si="8">E134&amp;F134</f>
        <v>GuyaneNoyer</v>
      </c>
      <c r="C134" s="371" t="str">
        <f t="shared" ref="C134:C197" si="9">E134&amp;F134&amp;G134</f>
        <v>GuyaneNoyerAgrumes</v>
      </c>
      <c r="E134" s="305" t="s">
        <v>295</v>
      </c>
      <c r="F134" s="306" t="s">
        <v>162</v>
      </c>
      <c r="G134" s="306" t="s">
        <v>646</v>
      </c>
      <c r="H134" s="295">
        <v>0</v>
      </c>
      <c r="I134" s="295">
        <v>2.14</v>
      </c>
      <c r="J134" s="295">
        <v>0</v>
      </c>
      <c r="K134" s="298">
        <v>0</v>
      </c>
      <c r="L134" s="372"/>
      <c r="M134" s="377" t="str">
        <f t="shared" ref="M134:M197" si="10">P134&amp;Q134</f>
        <v>GuyaneNoyer</v>
      </c>
      <c r="N134" s="377" t="str">
        <f t="shared" ref="N134:N197" si="11">P134&amp;Q134&amp;R134</f>
        <v>GuyaneNoyerAgrumes</v>
      </c>
      <c r="P134" s="316" t="s">
        <v>295</v>
      </c>
      <c r="Q134" s="317" t="s">
        <v>162</v>
      </c>
      <c r="R134" s="317" t="s">
        <v>646</v>
      </c>
      <c r="S134" s="295"/>
      <c r="T134" s="295"/>
      <c r="U134" s="295"/>
      <c r="V134" s="298"/>
    </row>
    <row r="135" spans="2:22" x14ac:dyDescent="0.25">
      <c r="B135" s="371" t="str">
        <f t="shared" si="8"/>
        <v>GuyanePêcher</v>
      </c>
      <c r="C135" s="371" t="str">
        <f t="shared" si="9"/>
        <v>GuyanePêcherAgrumes</v>
      </c>
      <c r="E135" s="305" t="s">
        <v>295</v>
      </c>
      <c r="F135" s="306" t="s">
        <v>166</v>
      </c>
      <c r="G135" s="306" t="s">
        <v>646</v>
      </c>
      <c r="H135" s="295">
        <v>0</v>
      </c>
      <c r="I135" s="295">
        <v>2.14</v>
      </c>
      <c r="J135" s="295">
        <v>0</v>
      </c>
      <c r="K135" s="298">
        <v>0</v>
      </c>
      <c r="L135" s="372"/>
      <c r="M135" s="377" t="str">
        <f t="shared" si="10"/>
        <v>GuyanePêcher</v>
      </c>
      <c r="N135" s="377" t="str">
        <f t="shared" si="11"/>
        <v>GuyanePêcherAgrumes</v>
      </c>
      <c r="P135" s="316" t="s">
        <v>295</v>
      </c>
      <c r="Q135" s="317" t="s">
        <v>166</v>
      </c>
      <c r="R135" s="317" t="s">
        <v>646</v>
      </c>
      <c r="S135" s="295"/>
      <c r="T135" s="295"/>
      <c r="U135" s="295"/>
      <c r="V135" s="298"/>
    </row>
    <row r="136" spans="2:22" x14ac:dyDescent="0.25">
      <c r="B136" s="371" t="str">
        <f t="shared" si="8"/>
        <v>GuyanePoirier</v>
      </c>
      <c r="C136" s="371" t="str">
        <f t="shared" si="9"/>
        <v>GuyanePoirierAgrumes</v>
      </c>
      <c r="E136" s="305" t="s">
        <v>295</v>
      </c>
      <c r="F136" s="306" t="s">
        <v>167</v>
      </c>
      <c r="G136" s="306" t="s">
        <v>646</v>
      </c>
      <c r="H136" s="295">
        <v>0</v>
      </c>
      <c r="I136" s="295">
        <v>2.14</v>
      </c>
      <c r="J136" s="295">
        <v>0</v>
      </c>
      <c r="K136" s="298">
        <v>0</v>
      </c>
      <c r="L136" s="372"/>
      <c r="M136" s="377" t="str">
        <f t="shared" si="10"/>
        <v>GuyanePoirier</v>
      </c>
      <c r="N136" s="377" t="str">
        <f t="shared" si="11"/>
        <v>GuyanePoirierAgrumes</v>
      </c>
      <c r="P136" s="316" t="s">
        <v>295</v>
      </c>
      <c r="Q136" s="317" t="s">
        <v>167</v>
      </c>
      <c r="R136" s="317" t="s">
        <v>646</v>
      </c>
      <c r="S136" s="295"/>
      <c r="T136" s="295"/>
      <c r="U136" s="295"/>
      <c r="V136" s="298"/>
    </row>
    <row r="137" spans="2:22" x14ac:dyDescent="0.25">
      <c r="B137" s="371" t="str">
        <f t="shared" si="8"/>
        <v>GuyanePommier</v>
      </c>
      <c r="C137" s="371" t="str">
        <f t="shared" si="9"/>
        <v>GuyanePommierAgrumes</v>
      </c>
      <c r="E137" s="305" t="s">
        <v>295</v>
      </c>
      <c r="F137" s="306" t="s">
        <v>169</v>
      </c>
      <c r="G137" s="306" t="s">
        <v>646</v>
      </c>
      <c r="H137" s="295">
        <v>0</v>
      </c>
      <c r="I137" s="295">
        <v>2.14</v>
      </c>
      <c r="J137" s="295">
        <v>0</v>
      </c>
      <c r="K137" s="298">
        <v>0</v>
      </c>
      <c r="L137" s="372"/>
      <c r="M137" s="377" t="str">
        <f t="shared" si="10"/>
        <v>GuyanePommier</v>
      </c>
      <c r="N137" s="377" t="str">
        <f t="shared" si="11"/>
        <v>GuyanePommierAgrumes</v>
      </c>
      <c r="P137" s="316" t="s">
        <v>295</v>
      </c>
      <c r="Q137" s="317" t="s">
        <v>169</v>
      </c>
      <c r="R137" s="317" t="s">
        <v>646</v>
      </c>
      <c r="S137" s="295"/>
      <c r="T137" s="295"/>
      <c r="U137" s="295"/>
      <c r="V137" s="298"/>
    </row>
    <row r="138" spans="2:22" ht="15.75" thickBot="1" x14ac:dyDescent="0.3">
      <c r="B138" s="371" t="str">
        <f t="shared" si="8"/>
        <v>GuyanePrunier</v>
      </c>
      <c r="C138" s="371" t="str">
        <f t="shared" si="9"/>
        <v>GuyanePrunierAgrumes</v>
      </c>
      <c r="E138" s="307" t="s">
        <v>295</v>
      </c>
      <c r="F138" s="308" t="s">
        <v>170</v>
      </c>
      <c r="G138" s="308" t="s">
        <v>646</v>
      </c>
      <c r="H138" s="297">
        <v>0</v>
      </c>
      <c r="I138" s="297">
        <v>2.14</v>
      </c>
      <c r="J138" s="297">
        <v>0</v>
      </c>
      <c r="K138" s="299">
        <v>0</v>
      </c>
      <c r="L138" s="372"/>
      <c r="M138" s="377" t="str">
        <f t="shared" si="10"/>
        <v>GuyanePrunier</v>
      </c>
      <c r="N138" s="377" t="str">
        <f t="shared" si="11"/>
        <v>GuyanePrunierAgrumes</v>
      </c>
      <c r="P138" s="318" t="s">
        <v>295</v>
      </c>
      <c r="Q138" s="319" t="s">
        <v>170</v>
      </c>
      <c r="R138" s="319" t="s">
        <v>646</v>
      </c>
      <c r="S138" s="297"/>
      <c r="T138" s="297"/>
      <c r="U138" s="297"/>
      <c r="V138" s="299"/>
    </row>
    <row r="139" spans="2:22" ht="15.75" thickTop="1" x14ac:dyDescent="0.25">
      <c r="B139" s="371" t="str">
        <f t="shared" si="8"/>
        <v>Haute-NormandieAbricotier</v>
      </c>
      <c r="C139" s="371" t="str">
        <f t="shared" si="9"/>
        <v>Haute-NormandieAbricotierAbricotier</v>
      </c>
      <c r="E139" s="305" t="s">
        <v>21</v>
      </c>
      <c r="F139" s="306" t="s">
        <v>135</v>
      </c>
      <c r="G139" s="306" t="s">
        <v>135</v>
      </c>
      <c r="H139" s="295">
        <v>0.01</v>
      </c>
      <c r="I139" s="295">
        <v>0.62</v>
      </c>
      <c r="J139" s="295">
        <v>5.1100000000000003</v>
      </c>
      <c r="K139" s="298">
        <v>10.66</v>
      </c>
      <c r="L139" s="372"/>
      <c r="M139" s="377" t="str">
        <f t="shared" si="10"/>
        <v>Haute-NormandieAbricotier</v>
      </c>
      <c r="N139" s="377" t="str">
        <f t="shared" si="11"/>
        <v>Haute-NormandieAbricotierAbricotier</v>
      </c>
      <c r="P139" s="316" t="s">
        <v>21</v>
      </c>
      <c r="Q139" s="317" t="s">
        <v>135</v>
      </c>
      <c r="R139" s="317" t="s">
        <v>135</v>
      </c>
      <c r="S139" s="295"/>
      <c r="T139" s="295"/>
      <c r="U139" s="295"/>
      <c r="V139" s="298"/>
    </row>
    <row r="140" spans="2:22" x14ac:dyDescent="0.25">
      <c r="B140" s="371" t="str">
        <f t="shared" si="8"/>
        <v>Haute-NormandieAgrumes</v>
      </c>
      <c r="C140" s="371" t="str">
        <f t="shared" si="9"/>
        <v>Haute-NormandieAgrumesClémentinier</v>
      </c>
      <c r="E140" s="305" t="s">
        <v>21</v>
      </c>
      <c r="F140" s="306" t="s">
        <v>646</v>
      </c>
      <c r="G140" s="306" t="s">
        <v>143</v>
      </c>
      <c r="H140" s="295">
        <v>0</v>
      </c>
      <c r="I140" s="295">
        <v>0.3</v>
      </c>
      <c r="J140" s="295">
        <v>2</v>
      </c>
      <c r="K140" s="298">
        <v>5</v>
      </c>
      <c r="L140" s="372"/>
      <c r="M140" s="377" t="str">
        <f t="shared" si="10"/>
        <v>Haute-NormandieAgrumes</v>
      </c>
      <c r="N140" s="377" t="str">
        <f t="shared" si="11"/>
        <v>Haute-NormandieAgrumesClémentinier</v>
      </c>
      <c r="P140" s="316" t="s">
        <v>21</v>
      </c>
      <c r="Q140" s="317" t="s">
        <v>646</v>
      </c>
      <c r="R140" s="317" t="s">
        <v>143</v>
      </c>
      <c r="S140" s="295"/>
      <c r="T140" s="295"/>
      <c r="U140" s="295"/>
      <c r="V140" s="298"/>
    </row>
    <row r="141" spans="2:22" x14ac:dyDescent="0.25">
      <c r="B141" s="371" t="str">
        <f t="shared" si="8"/>
        <v>Haute-NormandieAutres</v>
      </c>
      <c r="C141" s="371" t="str">
        <f t="shared" si="9"/>
        <v>Haute-NormandieAutresPrunier</v>
      </c>
      <c r="E141" s="305" t="s">
        <v>21</v>
      </c>
      <c r="F141" s="306" t="s">
        <v>178</v>
      </c>
      <c r="G141" s="306" t="s">
        <v>170</v>
      </c>
      <c r="H141" s="295">
        <v>0.01</v>
      </c>
      <c r="I141" s="295">
        <v>0.33</v>
      </c>
      <c r="J141" s="295">
        <v>5.14</v>
      </c>
      <c r="K141" s="298">
        <v>9.34</v>
      </c>
      <c r="L141" s="372"/>
      <c r="M141" s="377" t="str">
        <f t="shared" si="10"/>
        <v>Haute-NormandieAutres</v>
      </c>
      <c r="N141" s="377" t="str">
        <f t="shared" si="11"/>
        <v>Haute-NormandieAutresPrunier</v>
      </c>
      <c r="P141" s="316" t="s">
        <v>21</v>
      </c>
      <c r="Q141" s="317" t="s">
        <v>178</v>
      </c>
      <c r="R141" s="317" t="s">
        <v>170</v>
      </c>
      <c r="S141" s="295"/>
      <c r="T141" s="295"/>
      <c r="U141" s="295"/>
      <c r="V141" s="298"/>
    </row>
    <row r="142" spans="2:22" x14ac:dyDescent="0.25">
      <c r="B142" s="371" t="str">
        <f t="shared" si="8"/>
        <v>Haute-NormandieCerisier</v>
      </c>
      <c r="C142" s="371" t="str">
        <f t="shared" si="9"/>
        <v>Haute-NormandieCerisierCerisier</v>
      </c>
      <c r="E142" s="305" t="s">
        <v>21</v>
      </c>
      <c r="F142" s="306" t="s">
        <v>140</v>
      </c>
      <c r="G142" s="306" t="s">
        <v>140</v>
      </c>
      <c r="H142" s="295">
        <v>0</v>
      </c>
      <c r="I142" s="295">
        <v>0.36</v>
      </c>
      <c r="J142" s="295">
        <v>4.0599999999999996</v>
      </c>
      <c r="K142" s="298">
        <v>8.0299999999999994</v>
      </c>
      <c r="L142" s="372"/>
      <c r="M142" s="377" t="str">
        <f t="shared" si="10"/>
        <v>Haute-NormandieCerisier</v>
      </c>
      <c r="N142" s="377" t="str">
        <f t="shared" si="11"/>
        <v>Haute-NormandieCerisierCerisier</v>
      </c>
      <c r="P142" s="316" t="s">
        <v>21</v>
      </c>
      <c r="Q142" s="317" t="s">
        <v>140</v>
      </c>
      <c r="R142" s="317" t="s">
        <v>140</v>
      </c>
      <c r="S142" s="295"/>
      <c r="T142" s="295"/>
      <c r="U142" s="295"/>
      <c r="V142" s="298"/>
    </row>
    <row r="143" spans="2:22" x14ac:dyDescent="0.25">
      <c r="B143" s="371" t="str">
        <f t="shared" si="8"/>
        <v>Haute-NormandieMirabellier</v>
      </c>
      <c r="C143" s="371" t="str">
        <f t="shared" si="9"/>
        <v>Haute-NormandieMirabellierAutres</v>
      </c>
      <c r="E143" s="305" t="s">
        <v>21</v>
      </c>
      <c r="F143" s="306" t="s">
        <v>153</v>
      </c>
      <c r="G143" s="306" t="s">
        <v>178</v>
      </c>
      <c r="H143" s="295">
        <v>0.01</v>
      </c>
      <c r="I143" s="295">
        <v>0.33</v>
      </c>
      <c r="J143" s="295">
        <v>5.14</v>
      </c>
      <c r="K143" s="298">
        <v>9.34</v>
      </c>
      <c r="L143" s="372"/>
      <c r="M143" s="377" t="str">
        <f t="shared" si="10"/>
        <v>Haute-NormandieMirabellier</v>
      </c>
      <c r="N143" s="377" t="str">
        <f t="shared" si="11"/>
        <v>Haute-NormandieMirabellierAutres</v>
      </c>
      <c r="P143" s="316" t="s">
        <v>21</v>
      </c>
      <c r="Q143" s="317" t="s">
        <v>153</v>
      </c>
      <c r="R143" s="317" t="s">
        <v>178</v>
      </c>
      <c r="S143" s="295"/>
      <c r="T143" s="295"/>
      <c r="U143" s="295"/>
      <c r="V143" s="298"/>
    </row>
    <row r="144" spans="2:22" x14ac:dyDescent="0.25">
      <c r="B144" s="371" t="str">
        <f t="shared" si="8"/>
        <v>Haute-NormandieNectarinier</v>
      </c>
      <c r="C144" s="371" t="str">
        <f t="shared" si="9"/>
        <v>Haute-NormandieNectarinierNectarinier-Pêcher</v>
      </c>
      <c r="E144" s="305" t="s">
        <v>21</v>
      </c>
      <c r="F144" s="306" t="s">
        <v>159</v>
      </c>
      <c r="G144" s="306" t="s">
        <v>647</v>
      </c>
      <c r="H144" s="295">
        <v>0.03</v>
      </c>
      <c r="I144" s="295">
        <v>0.84</v>
      </c>
      <c r="J144" s="295">
        <v>9.25</v>
      </c>
      <c r="K144" s="298">
        <v>19.38</v>
      </c>
      <c r="L144" s="372"/>
      <c r="M144" s="377" t="str">
        <f t="shared" si="10"/>
        <v>Haute-NormandieNectarinier</v>
      </c>
      <c r="N144" s="377" t="str">
        <f t="shared" si="11"/>
        <v>Haute-NormandieNectarinierNectarinier-Pêcher</v>
      </c>
      <c r="P144" s="316" t="s">
        <v>21</v>
      </c>
      <c r="Q144" s="317" t="s">
        <v>159</v>
      </c>
      <c r="R144" s="317" t="s">
        <v>647</v>
      </c>
      <c r="S144" s="295"/>
      <c r="T144" s="295"/>
      <c r="U144" s="295"/>
      <c r="V144" s="298"/>
    </row>
    <row r="145" spans="2:22" x14ac:dyDescent="0.25">
      <c r="B145" s="371" t="str">
        <f t="shared" si="8"/>
        <v>Haute-NormandieNoyer</v>
      </c>
      <c r="C145" s="371" t="str">
        <f t="shared" si="9"/>
        <v>Haute-NormandieNoyerAutres</v>
      </c>
      <c r="E145" s="305" t="s">
        <v>21</v>
      </c>
      <c r="F145" s="306" t="s">
        <v>162</v>
      </c>
      <c r="G145" s="306" t="s">
        <v>178</v>
      </c>
      <c r="H145" s="295">
        <v>0.01</v>
      </c>
      <c r="I145" s="295">
        <v>0.33</v>
      </c>
      <c r="J145" s="295">
        <v>5.14</v>
      </c>
      <c r="K145" s="298">
        <v>9.34</v>
      </c>
      <c r="L145" s="372"/>
      <c r="M145" s="377" t="str">
        <f t="shared" si="10"/>
        <v>Haute-NormandieNoyer</v>
      </c>
      <c r="N145" s="377" t="str">
        <f t="shared" si="11"/>
        <v>Haute-NormandieNoyerAutres</v>
      </c>
      <c r="P145" s="316" t="s">
        <v>21</v>
      </c>
      <c r="Q145" s="317" t="s">
        <v>162</v>
      </c>
      <c r="R145" s="317" t="s">
        <v>178</v>
      </c>
      <c r="S145" s="295"/>
      <c r="T145" s="295"/>
      <c r="U145" s="295"/>
      <c r="V145" s="298"/>
    </row>
    <row r="146" spans="2:22" x14ac:dyDescent="0.25">
      <c r="B146" s="371" t="str">
        <f t="shared" si="8"/>
        <v>Haute-NormandiePêcher</v>
      </c>
      <c r="C146" s="371" t="str">
        <f t="shared" si="9"/>
        <v>Haute-NormandiePêcherNectarinier-Pêcher</v>
      </c>
      <c r="E146" s="305" t="s">
        <v>21</v>
      </c>
      <c r="F146" s="306" t="s">
        <v>166</v>
      </c>
      <c r="G146" s="306" t="s">
        <v>647</v>
      </c>
      <c r="H146" s="295">
        <v>0.03</v>
      </c>
      <c r="I146" s="295">
        <v>0.84</v>
      </c>
      <c r="J146" s="295">
        <v>9.25</v>
      </c>
      <c r="K146" s="298">
        <v>19.38</v>
      </c>
      <c r="L146" s="372"/>
      <c r="M146" s="377" t="str">
        <f t="shared" si="10"/>
        <v>Haute-NormandiePêcher</v>
      </c>
      <c r="N146" s="377" t="str">
        <f t="shared" si="11"/>
        <v>Haute-NormandiePêcherNectarinier-Pêcher</v>
      </c>
      <c r="P146" s="316" t="s">
        <v>21</v>
      </c>
      <c r="Q146" s="317" t="s">
        <v>166</v>
      </c>
      <c r="R146" s="317" t="s">
        <v>647</v>
      </c>
      <c r="S146" s="295"/>
      <c r="T146" s="295"/>
      <c r="U146" s="295"/>
      <c r="V146" s="298"/>
    </row>
    <row r="147" spans="2:22" x14ac:dyDescent="0.25">
      <c r="B147" s="371" t="str">
        <f t="shared" si="8"/>
        <v>Haute-NormandiePoirier</v>
      </c>
      <c r="C147" s="371" t="str">
        <f t="shared" si="9"/>
        <v>Haute-NormandiePoirierAutres</v>
      </c>
      <c r="E147" s="305" t="s">
        <v>21</v>
      </c>
      <c r="F147" s="306" t="s">
        <v>167</v>
      </c>
      <c r="G147" s="306" t="s">
        <v>178</v>
      </c>
      <c r="H147" s="295">
        <v>0.01</v>
      </c>
      <c r="I147" s="295">
        <v>0.33</v>
      </c>
      <c r="J147" s="295">
        <v>5.14</v>
      </c>
      <c r="K147" s="298">
        <v>9.34</v>
      </c>
      <c r="L147" s="372"/>
      <c r="M147" s="377" t="str">
        <f t="shared" si="10"/>
        <v>Haute-NormandiePoirier</v>
      </c>
      <c r="N147" s="377" t="str">
        <f t="shared" si="11"/>
        <v>Haute-NormandiePoirierAutres</v>
      </c>
      <c r="P147" s="316" t="s">
        <v>21</v>
      </c>
      <c r="Q147" s="317" t="s">
        <v>167</v>
      </c>
      <c r="R147" s="317" t="s">
        <v>178</v>
      </c>
      <c r="S147" s="295"/>
      <c r="T147" s="295"/>
      <c r="U147" s="295"/>
      <c r="V147" s="298"/>
    </row>
    <row r="148" spans="2:22" x14ac:dyDescent="0.25">
      <c r="B148" s="371" t="str">
        <f t="shared" si="8"/>
        <v>Haute-NormandiePommier</v>
      </c>
      <c r="C148" s="371" t="str">
        <f t="shared" si="9"/>
        <v>Haute-NormandiePommierPommier</v>
      </c>
      <c r="E148" s="305" t="s">
        <v>21</v>
      </c>
      <c r="F148" s="306" t="s">
        <v>169</v>
      </c>
      <c r="G148" s="306" t="s">
        <v>169</v>
      </c>
      <c r="H148" s="295">
        <v>0</v>
      </c>
      <c r="I148" s="295">
        <v>0.69</v>
      </c>
      <c r="J148" s="295">
        <v>5.54</v>
      </c>
      <c r="K148" s="298">
        <v>15.66</v>
      </c>
      <c r="L148" s="372"/>
      <c r="M148" s="377" t="str">
        <f t="shared" si="10"/>
        <v>Haute-NormandiePommier</v>
      </c>
      <c r="N148" s="377" t="str">
        <f t="shared" si="11"/>
        <v>Haute-NormandiePommierPommier</v>
      </c>
      <c r="P148" s="316" t="s">
        <v>21</v>
      </c>
      <c r="Q148" s="317" t="s">
        <v>169</v>
      </c>
      <c r="R148" s="317" t="s">
        <v>169</v>
      </c>
      <c r="S148" s="295"/>
      <c r="T148" s="295"/>
      <c r="U148" s="295"/>
      <c r="V148" s="298"/>
    </row>
    <row r="149" spans="2:22" ht="15.75" thickBot="1" x14ac:dyDescent="0.3">
      <c r="B149" s="371" t="str">
        <f t="shared" si="8"/>
        <v>Haute-NormandiePrunier</v>
      </c>
      <c r="C149" s="371" t="str">
        <f t="shared" si="9"/>
        <v>Haute-NormandiePrunierAutres</v>
      </c>
      <c r="E149" s="307" t="s">
        <v>21</v>
      </c>
      <c r="F149" s="308" t="s">
        <v>170</v>
      </c>
      <c r="G149" s="308" t="s">
        <v>178</v>
      </c>
      <c r="H149" s="297">
        <v>0.01</v>
      </c>
      <c r="I149" s="297">
        <v>0.33</v>
      </c>
      <c r="J149" s="297">
        <v>5.14</v>
      </c>
      <c r="K149" s="299">
        <v>9.34</v>
      </c>
      <c r="L149" s="372"/>
      <c r="M149" s="377" t="str">
        <f t="shared" si="10"/>
        <v>Haute-NormandiePrunier</v>
      </c>
      <c r="N149" s="377" t="str">
        <f t="shared" si="11"/>
        <v>Haute-NormandiePrunierAutres</v>
      </c>
      <c r="P149" s="318" t="s">
        <v>21</v>
      </c>
      <c r="Q149" s="319" t="s">
        <v>170</v>
      </c>
      <c r="R149" s="319" t="s">
        <v>178</v>
      </c>
      <c r="S149" s="297"/>
      <c r="T149" s="297"/>
      <c r="U149" s="297"/>
      <c r="V149" s="299"/>
    </row>
    <row r="150" spans="2:22" ht="15.75" thickTop="1" x14ac:dyDescent="0.25">
      <c r="B150" s="371" t="str">
        <f t="shared" si="8"/>
        <v>Ile-de-FranceAbricotier</v>
      </c>
      <c r="C150" s="371" t="str">
        <f t="shared" si="9"/>
        <v>Ile-de-FranceAbricotierAbricotier</v>
      </c>
      <c r="E150" s="303" t="s">
        <v>22</v>
      </c>
      <c r="F150" s="304" t="s">
        <v>135</v>
      </c>
      <c r="G150" s="304" t="s">
        <v>135</v>
      </c>
      <c r="H150" s="296">
        <v>0.01</v>
      </c>
      <c r="I150" s="296">
        <v>0.62</v>
      </c>
      <c r="J150" s="296">
        <v>5.1100000000000003</v>
      </c>
      <c r="K150" s="300">
        <v>10.66</v>
      </c>
      <c r="L150" s="372"/>
      <c r="M150" s="377" t="str">
        <f t="shared" si="10"/>
        <v>Ile-de-FranceAbricotier</v>
      </c>
      <c r="N150" s="377" t="str">
        <f t="shared" si="11"/>
        <v>Ile-de-FranceAbricotierAbricotier</v>
      </c>
      <c r="P150" s="314" t="s">
        <v>22</v>
      </c>
      <c r="Q150" s="315" t="s">
        <v>135</v>
      </c>
      <c r="R150" s="315" t="s">
        <v>135</v>
      </c>
      <c r="S150" s="296"/>
      <c r="T150" s="296"/>
      <c r="U150" s="296"/>
      <c r="V150" s="300"/>
    </row>
    <row r="151" spans="2:22" x14ac:dyDescent="0.25">
      <c r="B151" s="371" t="str">
        <f t="shared" si="8"/>
        <v>Ile-de-FranceAgrumes</v>
      </c>
      <c r="C151" s="371" t="str">
        <f t="shared" si="9"/>
        <v>Ile-de-FranceAgrumesClémentinier</v>
      </c>
      <c r="E151" s="303" t="s">
        <v>22</v>
      </c>
      <c r="F151" s="306" t="s">
        <v>646</v>
      </c>
      <c r="G151" s="306" t="s">
        <v>143</v>
      </c>
      <c r="H151" s="295">
        <v>0</v>
      </c>
      <c r="I151" s="295">
        <v>0.3</v>
      </c>
      <c r="J151" s="295">
        <v>2</v>
      </c>
      <c r="K151" s="298">
        <v>5</v>
      </c>
      <c r="L151" s="372"/>
      <c r="M151" s="377" t="str">
        <f t="shared" si="10"/>
        <v>Ile-de-FranceAgrumes</v>
      </c>
      <c r="N151" s="377" t="str">
        <f t="shared" si="11"/>
        <v>Ile-de-FranceAgrumesClémentinier</v>
      </c>
      <c r="P151" s="316" t="s">
        <v>22</v>
      </c>
      <c r="Q151" s="317" t="s">
        <v>646</v>
      </c>
      <c r="R151" s="317" t="s">
        <v>143</v>
      </c>
      <c r="S151" s="295"/>
      <c r="T151" s="295"/>
      <c r="U151" s="295"/>
      <c r="V151" s="298"/>
    </row>
    <row r="152" spans="2:22" x14ac:dyDescent="0.25">
      <c r="B152" s="371" t="str">
        <f t="shared" si="8"/>
        <v>Ile-de-FranceAutres</v>
      </c>
      <c r="C152" s="371" t="str">
        <f t="shared" si="9"/>
        <v>Ile-de-FranceAutresPrunier</v>
      </c>
      <c r="E152" s="303" t="s">
        <v>22</v>
      </c>
      <c r="F152" s="306" t="s">
        <v>178</v>
      </c>
      <c r="G152" s="306" t="s">
        <v>170</v>
      </c>
      <c r="H152" s="295">
        <v>0.01</v>
      </c>
      <c r="I152" s="295">
        <v>0.33</v>
      </c>
      <c r="J152" s="295">
        <v>5.14</v>
      </c>
      <c r="K152" s="298">
        <v>9.34</v>
      </c>
      <c r="L152" s="372"/>
      <c r="M152" s="377" t="str">
        <f t="shared" si="10"/>
        <v>Ile-de-FranceAutres</v>
      </c>
      <c r="N152" s="377" t="str">
        <f t="shared" si="11"/>
        <v>Ile-de-FranceAutresPrunier</v>
      </c>
      <c r="P152" s="316" t="s">
        <v>22</v>
      </c>
      <c r="Q152" s="317" t="s">
        <v>178</v>
      </c>
      <c r="R152" s="317" t="s">
        <v>170</v>
      </c>
      <c r="S152" s="295"/>
      <c r="T152" s="295"/>
      <c r="U152" s="295"/>
      <c r="V152" s="298"/>
    </row>
    <row r="153" spans="2:22" x14ac:dyDescent="0.25">
      <c r="B153" s="371" t="str">
        <f t="shared" si="8"/>
        <v>Ile-de-FranceCerisier</v>
      </c>
      <c r="C153" s="371" t="str">
        <f t="shared" si="9"/>
        <v>Ile-de-FranceCerisierCerisier</v>
      </c>
      <c r="E153" s="303" t="s">
        <v>22</v>
      </c>
      <c r="F153" s="306" t="s">
        <v>140</v>
      </c>
      <c r="G153" s="306" t="s">
        <v>140</v>
      </c>
      <c r="H153" s="295">
        <v>0</v>
      </c>
      <c r="I153" s="295">
        <v>0.36</v>
      </c>
      <c r="J153" s="295">
        <v>4.0599999999999996</v>
      </c>
      <c r="K153" s="298">
        <v>8.0299999999999994</v>
      </c>
      <c r="L153" s="372"/>
      <c r="M153" s="377" t="str">
        <f t="shared" si="10"/>
        <v>Ile-de-FranceCerisier</v>
      </c>
      <c r="N153" s="377" t="str">
        <f t="shared" si="11"/>
        <v>Ile-de-FranceCerisierCerisier</v>
      </c>
      <c r="P153" s="316" t="s">
        <v>22</v>
      </c>
      <c r="Q153" s="317" t="s">
        <v>140</v>
      </c>
      <c r="R153" s="317" t="s">
        <v>140</v>
      </c>
      <c r="S153" s="295"/>
      <c r="T153" s="295"/>
      <c r="U153" s="295"/>
      <c r="V153" s="298"/>
    </row>
    <row r="154" spans="2:22" x14ac:dyDescent="0.25">
      <c r="B154" s="371" t="str">
        <f t="shared" si="8"/>
        <v>Ile-de-FranceMirabellier</v>
      </c>
      <c r="C154" s="371" t="str">
        <f t="shared" si="9"/>
        <v>Ile-de-FranceMirabellierAutres</v>
      </c>
      <c r="E154" s="303" t="s">
        <v>22</v>
      </c>
      <c r="F154" s="306" t="s">
        <v>153</v>
      </c>
      <c r="G154" s="306" t="s">
        <v>178</v>
      </c>
      <c r="H154" s="295">
        <v>0.01</v>
      </c>
      <c r="I154" s="295">
        <v>0.33</v>
      </c>
      <c r="J154" s="295">
        <v>5.14</v>
      </c>
      <c r="K154" s="298">
        <v>9.34</v>
      </c>
      <c r="L154" s="372"/>
      <c r="M154" s="377" t="str">
        <f t="shared" si="10"/>
        <v>Ile-de-FranceMirabellier</v>
      </c>
      <c r="N154" s="377" t="str">
        <f t="shared" si="11"/>
        <v>Ile-de-FranceMirabellierAutres</v>
      </c>
      <c r="P154" s="316" t="s">
        <v>22</v>
      </c>
      <c r="Q154" s="317" t="s">
        <v>153</v>
      </c>
      <c r="R154" s="317" t="s">
        <v>178</v>
      </c>
      <c r="S154" s="295"/>
      <c r="T154" s="295"/>
      <c r="U154" s="295"/>
      <c r="V154" s="298"/>
    </row>
    <row r="155" spans="2:22" x14ac:dyDescent="0.25">
      <c r="B155" s="371" t="str">
        <f t="shared" si="8"/>
        <v>Ile-de-FranceNectarinier</v>
      </c>
      <c r="C155" s="371" t="str">
        <f t="shared" si="9"/>
        <v>Ile-de-FranceNectarinierNectarinier-Pêcher</v>
      </c>
      <c r="E155" s="303" t="s">
        <v>22</v>
      </c>
      <c r="F155" s="306" t="s">
        <v>159</v>
      </c>
      <c r="G155" s="306" t="s">
        <v>647</v>
      </c>
      <c r="H155" s="295">
        <v>0.03</v>
      </c>
      <c r="I155" s="295">
        <v>0.84</v>
      </c>
      <c r="J155" s="295">
        <v>9.25</v>
      </c>
      <c r="K155" s="298">
        <v>19.38</v>
      </c>
      <c r="L155" s="372"/>
      <c r="M155" s="377" t="str">
        <f t="shared" si="10"/>
        <v>Ile-de-FranceNectarinier</v>
      </c>
      <c r="N155" s="377" t="str">
        <f t="shared" si="11"/>
        <v>Ile-de-FranceNectarinierNectarinier-Pêcher</v>
      </c>
      <c r="P155" s="316" t="s">
        <v>22</v>
      </c>
      <c r="Q155" s="317" t="s">
        <v>159</v>
      </c>
      <c r="R155" s="317" t="s">
        <v>647</v>
      </c>
      <c r="S155" s="295"/>
      <c r="T155" s="295"/>
      <c r="U155" s="295"/>
      <c r="V155" s="298"/>
    </row>
    <row r="156" spans="2:22" x14ac:dyDescent="0.25">
      <c r="B156" s="371" t="str">
        <f t="shared" si="8"/>
        <v>Ile-de-FranceNoyer</v>
      </c>
      <c r="C156" s="371" t="str">
        <f t="shared" si="9"/>
        <v>Ile-de-FranceNoyerAutres</v>
      </c>
      <c r="E156" s="303" t="s">
        <v>22</v>
      </c>
      <c r="F156" s="306" t="s">
        <v>162</v>
      </c>
      <c r="G156" s="306" t="s">
        <v>178</v>
      </c>
      <c r="H156" s="295">
        <v>0.01</v>
      </c>
      <c r="I156" s="295">
        <v>0.33</v>
      </c>
      <c r="J156" s="295">
        <v>5.14</v>
      </c>
      <c r="K156" s="298">
        <v>9.34</v>
      </c>
      <c r="L156" s="372"/>
      <c r="M156" s="377" t="str">
        <f t="shared" si="10"/>
        <v>Ile-de-FranceNoyer</v>
      </c>
      <c r="N156" s="377" t="str">
        <f t="shared" si="11"/>
        <v>Ile-de-FranceNoyerAutres</v>
      </c>
      <c r="P156" s="316" t="s">
        <v>22</v>
      </c>
      <c r="Q156" s="317" t="s">
        <v>162</v>
      </c>
      <c r="R156" s="317" t="s">
        <v>178</v>
      </c>
      <c r="S156" s="295"/>
      <c r="T156" s="295"/>
      <c r="U156" s="295"/>
      <c r="V156" s="298"/>
    </row>
    <row r="157" spans="2:22" x14ac:dyDescent="0.25">
      <c r="B157" s="371" t="str">
        <f t="shared" si="8"/>
        <v>Ile-de-FrancePêcher</v>
      </c>
      <c r="C157" s="371" t="str">
        <f t="shared" si="9"/>
        <v>Ile-de-FrancePêcherNectarinier-Pêcher</v>
      </c>
      <c r="E157" s="303" t="s">
        <v>22</v>
      </c>
      <c r="F157" s="306" t="s">
        <v>166</v>
      </c>
      <c r="G157" s="306" t="s">
        <v>647</v>
      </c>
      <c r="H157" s="295">
        <v>0.03</v>
      </c>
      <c r="I157" s="295">
        <v>0.84</v>
      </c>
      <c r="J157" s="295">
        <v>9.25</v>
      </c>
      <c r="K157" s="298">
        <v>19.38</v>
      </c>
      <c r="L157" s="372"/>
      <c r="M157" s="377" t="str">
        <f t="shared" si="10"/>
        <v>Ile-de-FrancePêcher</v>
      </c>
      <c r="N157" s="377" t="str">
        <f t="shared" si="11"/>
        <v>Ile-de-FrancePêcherNectarinier-Pêcher</v>
      </c>
      <c r="P157" s="316" t="s">
        <v>22</v>
      </c>
      <c r="Q157" s="317" t="s">
        <v>166</v>
      </c>
      <c r="R157" s="317" t="s">
        <v>647</v>
      </c>
      <c r="S157" s="295"/>
      <c r="T157" s="295"/>
      <c r="U157" s="295"/>
      <c r="V157" s="298"/>
    </row>
    <row r="158" spans="2:22" x14ac:dyDescent="0.25">
      <c r="B158" s="371" t="str">
        <f t="shared" si="8"/>
        <v>Ile-de-FrancePoirier</v>
      </c>
      <c r="C158" s="371" t="str">
        <f t="shared" si="9"/>
        <v>Ile-de-FrancePoirierAutres</v>
      </c>
      <c r="E158" s="303" t="s">
        <v>22</v>
      </c>
      <c r="F158" s="306" t="s">
        <v>167</v>
      </c>
      <c r="G158" s="306" t="s">
        <v>178</v>
      </c>
      <c r="H158" s="295">
        <v>0.01</v>
      </c>
      <c r="I158" s="295">
        <v>0.33</v>
      </c>
      <c r="J158" s="295">
        <v>5.14</v>
      </c>
      <c r="K158" s="298">
        <v>9.34</v>
      </c>
      <c r="L158" s="372"/>
      <c r="M158" s="377" t="str">
        <f t="shared" si="10"/>
        <v>Ile-de-FrancePoirier</v>
      </c>
      <c r="N158" s="377" t="str">
        <f t="shared" si="11"/>
        <v>Ile-de-FrancePoirierAutres</v>
      </c>
      <c r="P158" s="316" t="s">
        <v>22</v>
      </c>
      <c r="Q158" s="317" t="s">
        <v>167</v>
      </c>
      <c r="R158" s="317" t="s">
        <v>178</v>
      </c>
      <c r="S158" s="295"/>
      <c r="T158" s="295"/>
      <c r="U158" s="295"/>
      <c r="V158" s="298"/>
    </row>
    <row r="159" spans="2:22" x14ac:dyDescent="0.25">
      <c r="B159" s="371" t="str">
        <f t="shared" si="8"/>
        <v>Ile-de-FrancePommier</v>
      </c>
      <c r="C159" s="371" t="str">
        <f t="shared" si="9"/>
        <v>Ile-de-FrancePommierPommier</v>
      </c>
      <c r="E159" s="303" t="s">
        <v>22</v>
      </c>
      <c r="F159" s="306" t="s">
        <v>169</v>
      </c>
      <c r="G159" s="306" t="s">
        <v>169</v>
      </c>
      <c r="H159" s="295">
        <v>0</v>
      </c>
      <c r="I159" s="295">
        <v>0.36</v>
      </c>
      <c r="J159" s="295">
        <v>3.85</v>
      </c>
      <c r="K159" s="298">
        <v>20.05</v>
      </c>
      <c r="L159" s="372"/>
      <c r="M159" s="377" t="str">
        <f t="shared" si="10"/>
        <v>Ile-de-FrancePommier</v>
      </c>
      <c r="N159" s="377" t="str">
        <f t="shared" si="11"/>
        <v>Ile-de-FrancePommierPommier</v>
      </c>
      <c r="P159" s="316" t="s">
        <v>22</v>
      </c>
      <c r="Q159" s="317" t="s">
        <v>169</v>
      </c>
      <c r="R159" s="317" t="s">
        <v>169</v>
      </c>
      <c r="S159" s="295"/>
      <c r="T159" s="295"/>
      <c r="U159" s="295"/>
      <c r="V159" s="298"/>
    </row>
    <row r="160" spans="2:22" ht="15.75" thickBot="1" x14ac:dyDescent="0.3">
      <c r="B160" s="371" t="str">
        <f t="shared" si="8"/>
        <v>Ile-de-FrancePrunier</v>
      </c>
      <c r="C160" s="371" t="str">
        <f t="shared" si="9"/>
        <v>Ile-de-FrancePrunierAutres</v>
      </c>
      <c r="E160" s="303" t="s">
        <v>22</v>
      </c>
      <c r="F160" s="308" t="s">
        <v>170</v>
      </c>
      <c r="G160" s="308" t="s">
        <v>178</v>
      </c>
      <c r="H160" s="297">
        <v>0.01</v>
      </c>
      <c r="I160" s="297">
        <v>0.33</v>
      </c>
      <c r="J160" s="297">
        <v>5.14</v>
      </c>
      <c r="K160" s="299">
        <v>9.34</v>
      </c>
      <c r="L160" s="372"/>
      <c r="M160" s="377" t="str">
        <f t="shared" si="10"/>
        <v>Ile-de-FrancePrunier</v>
      </c>
      <c r="N160" s="377" t="str">
        <f t="shared" si="11"/>
        <v>Ile-de-FrancePrunierAutres</v>
      </c>
      <c r="P160" s="318" t="s">
        <v>22</v>
      </c>
      <c r="Q160" s="319" t="s">
        <v>170</v>
      </c>
      <c r="R160" s="319" t="s">
        <v>178</v>
      </c>
      <c r="S160" s="297"/>
      <c r="T160" s="297"/>
      <c r="U160" s="297"/>
      <c r="V160" s="299"/>
    </row>
    <row r="161" spans="2:22" ht="15.75" thickTop="1" x14ac:dyDescent="0.25">
      <c r="B161" s="371" t="str">
        <f t="shared" si="8"/>
        <v>Languedoc-RoussillonAbricotier</v>
      </c>
      <c r="C161" s="371" t="str">
        <f t="shared" si="9"/>
        <v>Languedoc-RoussillonAbricotierAbricotier</v>
      </c>
      <c r="E161" s="305" t="s">
        <v>23</v>
      </c>
      <c r="F161" s="306" t="s">
        <v>135</v>
      </c>
      <c r="G161" s="306" t="s">
        <v>135</v>
      </c>
      <c r="H161" s="295">
        <v>0</v>
      </c>
      <c r="I161" s="295">
        <v>0.37</v>
      </c>
      <c r="J161" s="295">
        <v>4.37</v>
      </c>
      <c r="K161" s="298">
        <v>9.24</v>
      </c>
      <c r="L161" s="372"/>
      <c r="M161" s="377" t="str">
        <f t="shared" si="10"/>
        <v>Languedoc-RoussillonAbricotier</v>
      </c>
      <c r="N161" s="377" t="str">
        <f t="shared" si="11"/>
        <v>Languedoc-RoussillonAbricotierAbricotier</v>
      </c>
      <c r="P161" s="316" t="s">
        <v>23</v>
      </c>
      <c r="Q161" s="317" t="s">
        <v>135</v>
      </c>
      <c r="R161" s="317" t="s">
        <v>135</v>
      </c>
      <c r="S161" s="295"/>
      <c r="T161" s="295"/>
      <c r="U161" s="295"/>
      <c r="V161" s="298"/>
    </row>
    <row r="162" spans="2:22" x14ac:dyDescent="0.25">
      <c r="B162" s="371" t="str">
        <f t="shared" si="8"/>
        <v>Languedoc-RoussillonAgrumes</v>
      </c>
      <c r="C162" s="371" t="str">
        <f t="shared" si="9"/>
        <v>Languedoc-RoussillonAgrumesClémentinier</v>
      </c>
      <c r="E162" s="305" t="s">
        <v>23</v>
      </c>
      <c r="F162" s="306" t="s">
        <v>646</v>
      </c>
      <c r="G162" s="306" t="s">
        <v>143</v>
      </c>
      <c r="H162" s="295">
        <v>0</v>
      </c>
      <c r="I162" s="295">
        <v>0.3</v>
      </c>
      <c r="J162" s="295">
        <v>2</v>
      </c>
      <c r="K162" s="298">
        <v>5</v>
      </c>
      <c r="L162" s="372"/>
      <c r="M162" s="377" t="str">
        <f t="shared" si="10"/>
        <v>Languedoc-RoussillonAgrumes</v>
      </c>
      <c r="N162" s="377" t="str">
        <f t="shared" si="11"/>
        <v>Languedoc-RoussillonAgrumesClémentinier</v>
      </c>
      <c r="P162" s="316" t="s">
        <v>23</v>
      </c>
      <c r="Q162" s="317" t="s">
        <v>646</v>
      </c>
      <c r="R162" s="317" t="s">
        <v>143</v>
      </c>
      <c r="S162" s="295"/>
      <c r="T162" s="295"/>
      <c r="U162" s="295"/>
      <c r="V162" s="298"/>
    </row>
    <row r="163" spans="2:22" x14ac:dyDescent="0.25">
      <c r="B163" s="371" t="str">
        <f t="shared" si="8"/>
        <v>Languedoc-RoussillonAutres</v>
      </c>
      <c r="C163" s="371" t="str">
        <f t="shared" si="9"/>
        <v>Languedoc-RoussillonAutresPrunier</v>
      </c>
      <c r="E163" s="305" t="s">
        <v>23</v>
      </c>
      <c r="F163" s="306" t="s">
        <v>178</v>
      </c>
      <c r="G163" s="306" t="s">
        <v>170</v>
      </c>
      <c r="H163" s="295">
        <v>0.04</v>
      </c>
      <c r="I163" s="295">
        <v>0.74</v>
      </c>
      <c r="J163" s="295">
        <v>5.16</v>
      </c>
      <c r="K163" s="298">
        <v>8.34</v>
      </c>
      <c r="L163" s="372"/>
      <c r="M163" s="377" t="str">
        <f t="shared" si="10"/>
        <v>Languedoc-RoussillonAutres</v>
      </c>
      <c r="N163" s="377" t="str">
        <f t="shared" si="11"/>
        <v>Languedoc-RoussillonAutresPrunier</v>
      </c>
      <c r="P163" s="316" t="s">
        <v>23</v>
      </c>
      <c r="Q163" s="317" t="s">
        <v>178</v>
      </c>
      <c r="R163" s="317" t="s">
        <v>170</v>
      </c>
      <c r="S163" s="295"/>
      <c r="T163" s="295"/>
      <c r="U163" s="295"/>
      <c r="V163" s="298"/>
    </row>
    <row r="164" spans="2:22" x14ac:dyDescent="0.25">
      <c r="B164" s="371" t="str">
        <f t="shared" si="8"/>
        <v>Languedoc-RoussillonCerisier</v>
      </c>
      <c r="C164" s="371" t="str">
        <f t="shared" si="9"/>
        <v>Languedoc-RoussillonCerisierCerisier</v>
      </c>
      <c r="E164" s="305" t="s">
        <v>23</v>
      </c>
      <c r="F164" s="306" t="s">
        <v>140</v>
      </c>
      <c r="G164" s="306" t="s">
        <v>140</v>
      </c>
      <c r="H164" s="295">
        <v>0</v>
      </c>
      <c r="I164" s="295">
        <v>0.26</v>
      </c>
      <c r="J164" s="295">
        <v>2.57</v>
      </c>
      <c r="K164" s="298">
        <v>7.59</v>
      </c>
      <c r="L164" s="372"/>
      <c r="M164" s="377" t="str">
        <f t="shared" si="10"/>
        <v>Languedoc-RoussillonCerisier</v>
      </c>
      <c r="N164" s="377" t="str">
        <f t="shared" si="11"/>
        <v>Languedoc-RoussillonCerisierCerisier</v>
      </c>
      <c r="P164" s="316" t="s">
        <v>23</v>
      </c>
      <c r="Q164" s="317" t="s">
        <v>140</v>
      </c>
      <c r="R164" s="317" t="s">
        <v>140</v>
      </c>
      <c r="S164" s="295"/>
      <c r="T164" s="295"/>
      <c r="U164" s="295"/>
      <c r="V164" s="298"/>
    </row>
    <row r="165" spans="2:22" x14ac:dyDescent="0.25">
      <c r="B165" s="371" t="str">
        <f t="shared" si="8"/>
        <v>Languedoc-RoussillonMirabellier</v>
      </c>
      <c r="C165" s="371" t="str">
        <f t="shared" si="9"/>
        <v>Languedoc-RoussillonMirabellierAutres</v>
      </c>
      <c r="E165" s="305" t="s">
        <v>23</v>
      </c>
      <c r="F165" s="306" t="s">
        <v>153</v>
      </c>
      <c r="G165" s="306" t="s">
        <v>178</v>
      </c>
      <c r="H165" s="295">
        <v>0.04</v>
      </c>
      <c r="I165" s="295">
        <v>0.74</v>
      </c>
      <c r="J165" s="295">
        <v>5.16</v>
      </c>
      <c r="K165" s="298">
        <v>8.34</v>
      </c>
      <c r="L165" s="372"/>
      <c r="M165" s="377" t="str">
        <f t="shared" si="10"/>
        <v>Languedoc-RoussillonMirabellier</v>
      </c>
      <c r="N165" s="377" t="str">
        <f t="shared" si="11"/>
        <v>Languedoc-RoussillonMirabellierAutres</v>
      </c>
      <c r="P165" s="316" t="s">
        <v>23</v>
      </c>
      <c r="Q165" s="317" t="s">
        <v>153</v>
      </c>
      <c r="R165" s="317" t="s">
        <v>178</v>
      </c>
      <c r="S165" s="295"/>
      <c r="T165" s="295"/>
      <c r="U165" s="295"/>
      <c r="V165" s="298"/>
    </row>
    <row r="166" spans="2:22" x14ac:dyDescent="0.25">
      <c r="B166" s="371" t="str">
        <f t="shared" si="8"/>
        <v>Languedoc-RoussillonNectarinier</v>
      </c>
      <c r="C166" s="371" t="str">
        <f t="shared" si="9"/>
        <v>Languedoc-RoussillonNectarinierNectarinier-Pêcher</v>
      </c>
      <c r="E166" s="305" t="s">
        <v>23</v>
      </c>
      <c r="F166" s="306" t="s">
        <v>159</v>
      </c>
      <c r="G166" s="306" t="s">
        <v>647</v>
      </c>
      <c r="H166" s="295">
        <v>0.02</v>
      </c>
      <c r="I166" s="295">
        <v>0.85</v>
      </c>
      <c r="J166" s="295">
        <v>8.84</v>
      </c>
      <c r="K166" s="298">
        <v>18.149999999999999</v>
      </c>
      <c r="L166" s="372"/>
      <c r="M166" s="377" t="str">
        <f t="shared" si="10"/>
        <v>Languedoc-RoussillonNectarinier</v>
      </c>
      <c r="N166" s="377" t="str">
        <f t="shared" si="11"/>
        <v>Languedoc-RoussillonNectarinierNectarinier-Pêcher</v>
      </c>
      <c r="P166" s="316" t="s">
        <v>23</v>
      </c>
      <c r="Q166" s="317" t="s">
        <v>159</v>
      </c>
      <c r="R166" s="317" t="s">
        <v>647</v>
      </c>
      <c r="S166" s="295"/>
      <c r="T166" s="295"/>
      <c r="U166" s="295"/>
      <c r="V166" s="298"/>
    </row>
    <row r="167" spans="2:22" x14ac:dyDescent="0.25">
      <c r="B167" s="371" t="str">
        <f t="shared" si="8"/>
        <v>Languedoc-RoussillonNoyer</v>
      </c>
      <c r="C167" s="371" t="str">
        <f t="shared" si="9"/>
        <v>Languedoc-RoussillonNoyerAutres</v>
      </c>
      <c r="E167" s="305" t="s">
        <v>23</v>
      </c>
      <c r="F167" s="306" t="s">
        <v>162</v>
      </c>
      <c r="G167" s="306" t="s">
        <v>178</v>
      </c>
      <c r="H167" s="295">
        <v>0.04</v>
      </c>
      <c r="I167" s="295">
        <v>0.74</v>
      </c>
      <c r="J167" s="295">
        <v>5.16</v>
      </c>
      <c r="K167" s="298">
        <v>8.34</v>
      </c>
      <c r="L167" s="372"/>
      <c r="M167" s="377" t="str">
        <f t="shared" si="10"/>
        <v>Languedoc-RoussillonNoyer</v>
      </c>
      <c r="N167" s="377" t="str">
        <f t="shared" si="11"/>
        <v>Languedoc-RoussillonNoyerAutres</v>
      </c>
      <c r="P167" s="316" t="s">
        <v>23</v>
      </c>
      <c r="Q167" s="317" t="s">
        <v>162</v>
      </c>
      <c r="R167" s="317" t="s">
        <v>178</v>
      </c>
      <c r="S167" s="295"/>
      <c r="T167" s="295"/>
      <c r="U167" s="295"/>
      <c r="V167" s="298"/>
    </row>
    <row r="168" spans="2:22" x14ac:dyDescent="0.25">
      <c r="B168" s="371" t="str">
        <f t="shared" si="8"/>
        <v>Languedoc-RoussillonPêcher</v>
      </c>
      <c r="C168" s="371" t="str">
        <f t="shared" si="9"/>
        <v>Languedoc-RoussillonPêcherNectarinier-Pêcher</v>
      </c>
      <c r="E168" s="305" t="s">
        <v>23</v>
      </c>
      <c r="F168" s="306" t="s">
        <v>166</v>
      </c>
      <c r="G168" s="306" t="s">
        <v>647</v>
      </c>
      <c r="H168" s="295">
        <v>0.02</v>
      </c>
      <c r="I168" s="295">
        <v>0.85</v>
      </c>
      <c r="J168" s="295">
        <v>8.84</v>
      </c>
      <c r="K168" s="298">
        <v>18.149999999999999</v>
      </c>
      <c r="L168" s="372"/>
      <c r="M168" s="377" t="str">
        <f t="shared" si="10"/>
        <v>Languedoc-RoussillonPêcher</v>
      </c>
      <c r="N168" s="377" t="str">
        <f t="shared" si="11"/>
        <v>Languedoc-RoussillonPêcherNectarinier-Pêcher</v>
      </c>
      <c r="P168" s="316" t="s">
        <v>23</v>
      </c>
      <c r="Q168" s="317" t="s">
        <v>166</v>
      </c>
      <c r="R168" s="317" t="s">
        <v>647</v>
      </c>
      <c r="S168" s="295"/>
      <c r="T168" s="295"/>
      <c r="U168" s="295"/>
      <c r="V168" s="298"/>
    </row>
    <row r="169" spans="2:22" x14ac:dyDescent="0.25">
      <c r="B169" s="371" t="str">
        <f t="shared" si="8"/>
        <v>Languedoc-RoussillonPoirier</v>
      </c>
      <c r="C169" s="371" t="str">
        <f t="shared" si="9"/>
        <v>Languedoc-RoussillonPoirierAutres</v>
      </c>
      <c r="E169" s="305" t="s">
        <v>23</v>
      </c>
      <c r="F169" s="306" t="s">
        <v>167</v>
      </c>
      <c r="G169" s="306" t="s">
        <v>178</v>
      </c>
      <c r="H169" s="295">
        <v>0.04</v>
      </c>
      <c r="I169" s="295">
        <v>0.74</v>
      </c>
      <c r="J169" s="295">
        <v>5.16</v>
      </c>
      <c r="K169" s="298">
        <v>8.34</v>
      </c>
      <c r="L169" s="372"/>
      <c r="M169" s="377" t="str">
        <f t="shared" si="10"/>
        <v>Languedoc-RoussillonPoirier</v>
      </c>
      <c r="N169" s="377" t="str">
        <f t="shared" si="11"/>
        <v>Languedoc-RoussillonPoirierAutres</v>
      </c>
      <c r="P169" s="316" t="s">
        <v>23</v>
      </c>
      <c r="Q169" s="317" t="s">
        <v>167</v>
      </c>
      <c r="R169" s="317" t="s">
        <v>178</v>
      </c>
      <c r="S169" s="295"/>
      <c r="T169" s="295"/>
      <c r="U169" s="295"/>
      <c r="V169" s="298"/>
    </row>
    <row r="170" spans="2:22" x14ac:dyDescent="0.25">
      <c r="B170" s="371" t="str">
        <f t="shared" si="8"/>
        <v>Languedoc-RoussillonPommier</v>
      </c>
      <c r="C170" s="371" t="str">
        <f t="shared" si="9"/>
        <v>Languedoc-RoussillonPommierPommier</v>
      </c>
      <c r="E170" s="305" t="s">
        <v>23</v>
      </c>
      <c r="F170" s="306" t="s">
        <v>169</v>
      </c>
      <c r="G170" s="306" t="s">
        <v>169</v>
      </c>
      <c r="H170" s="295">
        <v>0.03</v>
      </c>
      <c r="I170" s="295">
        <v>0.5</v>
      </c>
      <c r="J170" s="295">
        <v>12.93</v>
      </c>
      <c r="K170" s="298">
        <v>23.25</v>
      </c>
      <c r="L170" s="372"/>
      <c r="M170" s="377" t="str">
        <f t="shared" si="10"/>
        <v>Languedoc-RoussillonPommier</v>
      </c>
      <c r="N170" s="377" t="str">
        <f t="shared" si="11"/>
        <v>Languedoc-RoussillonPommierPommier</v>
      </c>
      <c r="P170" s="316" t="s">
        <v>23</v>
      </c>
      <c r="Q170" s="317" t="s">
        <v>169</v>
      </c>
      <c r="R170" s="317" t="s">
        <v>169</v>
      </c>
      <c r="S170" s="295"/>
      <c r="T170" s="295"/>
      <c r="U170" s="295"/>
      <c r="V170" s="298"/>
    </row>
    <row r="171" spans="2:22" ht="15.75" thickBot="1" x14ac:dyDescent="0.3">
      <c r="B171" s="371" t="str">
        <f t="shared" si="8"/>
        <v>Languedoc-RoussillonPrunier</v>
      </c>
      <c r="C171" s="371" t="str">
        <f t="shared" si="9"/>
        <v>Languedoc-RoussillonPrunierPrunier</v>
      </c>
      <c r="E171" s="307" t="s">
        <v>23</v>
      </c>
      <c r="F171" s="308" t="s">
        <v>170</v>
      </c>
      <c r="G171" s="308" t="s">
        <v>170</v>
      </c>
      <c r="H171" s="297">
        <v>0.04</v>
      </c>
      <c r="I171" s="297">
        <v>0.74</v>
      </c>
      <c r="J171" s="297">
        <v>5.16</v>
      </c>
      <c r="K171" s="299">
        <v>8.34</v>
      </c>
      <c r="L171" s="372"/>
      <c r="M171" s="377" t="str">
        <f t="shared" si="10"/>
        <v>Languedoc-RoussillonPrunier</v>
      </c>
      <c r="N171" s="377" t="str">
        <f t="shared" si="11"/>
        <v>Languedoc-RoussillonPrunierPrunier</v>
      </c>
      <c r="P171" s="318" t="s">
        <v>23</v>
      </c>
      <c r="Q171" s="319" t="s">
        <v>170</v>
      </c>
      <c r="R171" s="319" t="s">
        <v>170</v>
      </c>
      <c r="S171" s="297"/>
      <c r="T171" s="297"/>
      <c r="U171" s="297"/>
      <c r="V171" s="299"/>
    </row>
    <row r="172" spans="2:22" ht="15.75" thickTop="1" x14ac:dyDescent="0.25">
      <c r="B172" s="371" t="str">
        <f t="shared" si="8"/>
        <v>LimousinAbricotier</v>
      </c>
      <c r="C172" s="371" t="str">
        <f t="shared" si="9"/>
        <v>LimousinAbricotierAbricotier</v>
      </c>
      <c r="E172" s="305" t="s">
        <v>24</v>
      </c>
      <c r="F172" s="306" t="s">
        <v>135</v>
      </c>
      <c r="G172" s="306" t="s">
        <v>135</v>
      </c>
      <c r="H172" s="295">
        <v>0.01</v>
      </c>
      <c r="I172" s="295">
        <v>0.62</v>
      </c>
      <c r="J172" s="295">
        <v>5.1100000000000003</v>
      </c>
      <c r="K172" s="298">
        <v>10.66</v>
      </c>
      <c r="L172" s="372"/>
      <c r="M172" s="377" t="str">
        <f t="shared" si="10"/>
        <v>LimousinAbricotier</v>
      </c>
      <c r="N172" s="377" t="str">
        <f t="shared" si="11"/>
        <v>LimousinAbricotierAbricotier</v>
      </c>
      <c r="P172" s="316" t="s">
        <v>24</v>
      </c>
      <c r="Q172" s="317" t="s">
        <v>135</v>
      </c>
      <c r="R172" s="317" t="s">
        <v>135</v>
      </c>
      <c r="S172" s="295"/>
      <c r="T172" s="295"/>
      <c r="U172" s="295"/>
      <c r="V172" s="298"/>
    </row>
    <row r="173" spans="2:22" x14ac:dyDescent="0.25">
      <c r="B173" s="371" t="str">
        <f t="shared" si="8"/>
        <v>LimousinAgrumes</v>
      </c>
      <c r="C173" s="371" t="str">
        <f t="shared" si="9"/>
        <v>LimousinAgrumesClémentinier</v>
      </c>
      <c r="E173" s="305" t="s">
        <v>24</v>
      </c>
      <c r="F173" s="306" t="s">
        <v>646</v>
      </c>
      <c r="G173" s="306" t="s">
        <v>143</v>
      </c>
      <c r="H173" s="295">
        <v>0</v>
      </c>
      <c r="I173" s="295">
        <v>0.3</v>
      </c>
      <c r="J173" s="295">
        <v>2</v>
      </c>
      <c r="K173" s="298">
        <v>5</v>
      </c>
      <c r="L173" s="372"/>
      <c r="M173" s="377" t="str">
        <f t="shared" si="10"/>
        <v>LimousinAgrumes</v>
      </c>
      <c r="N173" s="377" t="str">
        <f t="shared" si="11"/>
        <v>LimousinAgrumesClémentinier</v>
      </c>
      <c r="P173" s="316" t="s">
        <v>24</v>
      </c>
      <c r="Q173" s="317" t="s">
        <v>646</v>
      </c>
      <c r="R173" s="317" t="s">
        <v>143</v>
      </c>
      <c r="S173" s="295"/>
      <c r="T173" s="295"/>
      <c r="U173" s="295"/>
      <c r="V173" s="298"/>
    </row>
    <row r="174" spans="2:22" x14ac:dyDescent="0.25">
      <c r="B174" s="371" t="str">
        <f t="shared" si="8"/>
        <v>LimousinAutres</v>
      </c>
      <c r="C174" s="371" t="str">
        <f t="shared" si="9"/>
        <v>LimousinAutresPrunier</v>
      </c>
      <c r="E174" s="305" t="s">
        <v>24</v>
      </c>
      <c r="F174" s="306" t="s">
        <v>178</v>
      </c>
      <c r="G174" s="306" t="s">
        <v>170</v>
      </c>
      <c r="H174" s="295">
        <v>0.01</v>
      </c>
      <c r="I174" s="295">
        <v>0.33</v>
      </c>
      <c r="J174" s="295">
        <v>5.14</v>
      </c>
      <c r="K174" s="298">
        <v>9.34</v>
      </c>
      <c r="L174" s="372"/>
      <c r="M174" s="377" t="str">
        <f t="shared" si="10"/>
        <v>LimousinAutres</v>
      </c>
      <c r="N174" s="377" t="str">
        <f t="shared" si="11"/>
        <v>LimousinAutresPrunier</v>
      </c>
      <c r="P174" s="316" t="s">
        <v>24</v>
      </c>
      <c r="Q174" s="317" t="s">
        <v>178</v>
      </c>
      <c r="R174" s="317" t="s">
        <v>170</v>
      </c>
      <c r="S174" s="295"/>
      <c r="T174" s="295"/>
      <c r="U174" s="295"/>
      <c r="V174" s="298"/>
    </row>
    <row r="175" spans="2:22" x14ac:dyDescent="0.25">
      <c r="B175" s="371" t="str">
        <f t="shared" si="8"/>
        <v>LimousinCerisier</v>
      </c>
      <c r="C175" s="371" t="str">
        <f t="shared" si="9"/>
        <v>LimousinCerisierCerisier</v>
      </c>
      <c r="E175" s="305" t="s">
        <v>24</v>
      </c>
      <c r="F175" s="306" t="s">
        <v>140</v>
      </c>
      <c r="G175" s="306" t="s">
        <v>140</v>
      </c>
      <c r="H175" s="295">
        <v>0</v>
      </c>
      <c r="I175" s="295">
        <v>0.36</v>
      </c>
      <c r="J175" s="295">
        <v>4.0599999999999996</v>
      </c>
      <c r="K175" s="298">
        <v>8.0299999999999994</v>
      </c>
      <c r="L175" s="372"/>
      <c r="M175" s="377" t="str">
        <f t="shared" si="10"/>
        <v>LimousinCerisier</v>
      </c>
      <c r="N175" s="377" t="str">
        <f t="shared" si="11"/>
        <v>LimousinCerisierCerisier</v>
      </c>
      <c r="P175" s="316" t="s">
        <v>24</v>
      </c>
      <c r="Q175" s="317" t="s">
        <v>140</v>
      </c>
      <c r="R175" s="317" t="s">
        <v>140</v>
      </c>
      <c r="S175" s="295"/>
      <c r="T175" s="295"/>
      <c r="U175" s="295"/>
      <c r="V175" s="298"/>
    </row>
    <row r="176" spans="2:22" x14ac:dyDescent="0.25">
      <c r="B176" s="371" t="str">
        <f t="shared" si="8"/>
        <v>LimousinMirabellier</v>
      </c>
      <c r="C176" s="371" t="str">
        <f t="shared" si="9"/>
        <v>LimousinMirabellierAutres</v>
      </c>
      <c r="E176" s="305" t="s">
        <v>24</v>
      </c>
      <c r="F176" s="306" t="s">
        <v>153</v>
      </c>
      <c r="G176" s="306" t="s">
        <v>178</v>
      </c>
      <c r="H176" s="295">
        <v>0.01</v>
      </c>
      <c r="I176" s="295">
        <v>0.33</v>
      </c>
      <c r="J176" s="295">
        <v>5.14</v>
      </c>
      <c r="K176" s="298">
        <v>9.34</v>
      </c>
      <c r="L176" s="372"/>
      <c r="M176" s="377" t="str">
        <f t="shared" si="10"/>
        <v>LimousinMirabellier</v>
      </c>
      <c r="N176" s="377" t="str">
        <f t="shared" si="11"/>
        <v>LimousinMirabellierAutres</v>
      </c>
      <c r="P176" s="316" t="s">
        <v>24</v>
      </c>
      <c r="Q176" s="317" t="s">
        <v>153</v>
      </c>
      <c r="R176" s="317" t="s">
        <v>178</v>
      </c>
      <c r="S176" s="295"/>
      <c r="T176" s="295"/>
      <c r="U176" s="295"/>
      <c r="V176" s="298"/>
    </row>
    <row r="177" spans="2:22" x14ac:dyDescent="0.25">
      <c r="B177" s="371" t="str">
        <f t="shared" si="8"/>
        <v>LimousinNectarinier</v>
      </c>
      <c r="C177" s="371" t="str">
        <f t="shared" si="9"/>
        <v>LimousinNectarinierNectarinier-Pêcher</v>
      </c>
      <c r="E177" s="305" t="s">
        <v>24</v>
      </c>
      <c r="F177" s="306" t="s">
        <v>159</v>
      </c>
      <c r="G177" s="306" t="s">
        <v>647</v>
      </c>
      <c r="H177" s="295">
        <v>0.03</v>
      </c>
      <c r="I177" s="295">
        <v>0.84</v>
      </c>
      <c r="J177" s="295">
        <v>9.25</v>
      </c>
      <c r="K177" s="298">
        <v>19.38</v>
      </c>
      <c r="L177" s="372"/>
      <c r="M177" s="377" t="str">
        <f t="shared" si="10"/>
        <v>LimousinNectarinier</v>
      </c>
      <c r="N177" s="377" t="str">
        <f t="shared" si="11"/>
        <v>LimousinNectarinierNectarinier-Pêcher</v>
      </c>
      <c r="P177" s="316" t="s">
        <v>24</v>
      </c>
      <c r="Q177" s="317" t="s">
        <v>159</v>
      </c>
      <c r="R177" s="317" t="s">
        <v>647</v>
      </c>
      <c r="S177" s="295"/>
      <c r="T177" s="295"/>
      <c r="U177" s="295"/>
      <c r="V177" s="298"/>
    </row>
    <row r="178" spans="2:22" x14ac:dyDescent="0.25">
      <c r="B178" s="371" t="str">
        <f t="shared" si="8"/>
        <v>LimousinNoyer</v>
      </c>
      <c r="C178" s="371" t="str">
        <f t="shared" si="9"/>
        <v>LimousinNoyerAutres</v>
      </c>
      <c r="E178" s="305" t="s">
        <v>24</v>
      </c>
      <c r="F178" s="306" t="s">
        <v>162</v>
      </c>
      <c r="G178" s="306" t="s">
        <v>178</v>
      </c>
      <c r="H178" s="295">
        <v>0.01</v>
      </c>
      <c r="I178" s="295">
        <v>0.33</v>
      </c>
      <c r="J178" s="295">
        <v>5.14</v>
      </c>
      <c r="K178" s="298">
        <v>9.34</v>
      </c>
      <c r="L178" s="372"/>
      <c r="M178" s="377" t="str">
        <f t="shared" si="10"/>
        <v>LimousinNoyer</v>
      </c>
      <c r="N178" s="377" t="str">
        <f t="shared" si="11"/>
        <v>LimousinNoyerAutres</v>
      </c>
      <c r="P178" s="316" t="s">
        <v>24</v>
      </c>
      <c r="Q178" s="317" t="s">
        <v>162</v>
      </c>
      <c r="R178" s="317" t="s">
        <v>178</v>
      </c>
      <c r="S178" s="295"/>
      <c r="T178" s="295"/>
      <c r="U178" s="295"/>
      <c r="V178" s="298"/>
    </row>
    <row r="179" spans="2:22" x14ac:dyDescent="0.25">
      <c r="B179" s="371" t="str">
        <f t="shared" si="8"/>
        <v>LimousinPêcher</v>
      </c>
      <c r="C179" s="371" t="str">
        <f t="shared" si="9"/>
        <v>LimousinPêcherNectarinier-Pêcher</v>
      </c>
      <c r="E179" s="305" t="s">
        <v>24</v>
      </c>
      <c r="F179" s="306" t="s">
        <v>166</v>
      </c>
      <c r="G179" s="306" t="s">
        <v>647</v>
      </c>
      <c r="H179" s="295">
        <v>0.03</v>
      </c>
      <c r="I179" s="295">
        <v>0.84</v>
      </c>
      <c r="J179" s="295">
        <v>9.25</v>
      </c>
      <c r="K179" s="298">
        <v>19.38</v>
      </c>
      <c r="L179" s="372"/>
      <c r="M179" s="377" t="str">
        <f t="shared" si="10"/>
        <v>LimousinPêcher</v>
      </c>
      <c r="N179" s="377" t="str">
        <f t="shared" si="11"/>
        <v>LimousinPêcherNectarinier-Pêcher</v>
      </c>
      <c r="P179" s="316" t="s">
        <v>24</v>
      </c>
      <c r="Q179" s="317" t="s">
        <v>166</v>
      </c>
      <c r="R179" s="317" t="s">
        <v>647</v>
      </c>
      <c r="S179" s="295"/>
      <c r="T179" s="295"/>
      <c r="U179" s="295"/>
      <c r="V179" s="298"/>
    </row>
    <row r="180" spans="2:22" x14ac:dyDescent="0.25">
      <c r="B180" s="371" t="str">
        <f t="shared" si="8"/>
        <v>LimousinPoirier</v>
      </c>
      <c r="C180" s="371" t="str">
        <f t="shared" si="9"/>
        <v>LimousinPoirierAutres</v>
      </c>
      <c r="E180" s="305" t="s">
        <v>24</v>
      </c>
      <c r="F180" s="306" t="s">
        <v>167</v>
      </c>
      <c r="G180" s="306" t="s">
        <v>178</v>
      </c>
      <c r="H180" s="295">
        <v>0.01</v>
      </c>
      <c r="I180" s="295">
        <v>0.33</v>
      </c>
      <c r="J180" s="295">
        <v>5.14</v>
      </c>
      <c r="K180" s="298">
        <v>9.34</v>
      </c>
      <c r="L180" s="372"/>
      <c r="M180" s="377" t="str">
        <f t="shared" si="10"/>
        <v>LimousinPoirier</v>
      </c>
      <c r="N180" s="377" t="str">
        <f t="shared" si="11"/>
        <v>LimousinPoirierAutres</v>
      </c>
      <c r="P180" s="316" t="s">
        <v>24</v>
      </c>
      <c r="Q180" s="317" t="s">
        <v>167</v>
      </c>
      <c r="R180" s="317" t="s">
        <v>178</v>
      </c>
      <c r="S180" s="295"/>
      <c r="T180" s="295"/>
      <c r="U180" s="295"/>
      <c r="V180" s="298"/>
    </row>
    <row r="181" spans="2:22" x14ac:dyDescent="0.25">
      <c r="B181" s="371" t="str">
        <f t="shared" si="8"/>
        <v>LimousinPommier</v>
      </c>
      <c r="C181" s="371" t="str">
        <f t="shared" si="9"/>
        <v>LimousinPommierPommier</v>
      </c>
      <c r="E181" s="305" t="s">
        <v>24</v>
      </c>
      <c r="F181" s="306" t="s">
        <v>169</v>
      </c>
      <c r="G181" s="306" t="s">
        <v>169</v>
      </c>
      <c r="H181" s="295">
        <v>0.12</v>
      </c>
      <c r="I181" s="295">
        <v>0.74</v>
      </c>
      <c r="J181" s="295">
        <v>23.1</v>
      </c>
      <c r="K181" s="298">
        <v>36.14</v>
      </c>
      <c r="L181" s="372"/>
      <c r="M181" s="377" t="str">
        <f t="shared" si="10"/>
        <v>LimousinPommier</v>
      </c>
      <c r="N181" s="377" t="str">
        <f t="shared" si="11"/>
        <v>LimousinPommierPommier</v>
      </c>
      <c r="P181" s="316" t="s">
        <v>24</v>
      </c>
      <c r="Q181" s="317" t="s">
        <v>169</v>
      </c>
      <c r="R181" s="317" t="s">
        <v>169</v>
      </c>
      <c r="S181" s="295"/>
      <c r="T181" s="295"/>
      <c r="U181" s="295"/>
      <c r="V181" s="298"/>
    </row>
    <row r="182" spans="2:22" ht="15.75" thickBot="1" x14ac:dyDescent="0.3">
      <c r="B182" s="371" t="str">
        <f t="shared" si="8"/>
        <v>LimousinPrunier</v>
      </c>
      <c r="C182" s="371" t="str">
        <f t="shared" si="9"/>
        <v>LimousinPrunierAutres</v>
      </c>
      <c r="E182" s="307" t="s">
        <v>24</v>
      </c>
      <c r="F182" s="308" t="s">
        <v>170</v>
      </c>
      <c r="G182" s="308" t="s">
        <v>178</v>
      </c>
      <c r="H182" s="297">
        <v>0.01</v>
      </c>
      <c r="I182" s="297">
        <v>0.33</v>
      </c>
      <c r="J182" s="297">
        <v>5.14</v>
      </c>
      <c r="K182" s="299">
        <v>9.34</v>
      </c>
      <c r="L182" s="372"/>
      <c r="M182" s="377" t="str">
        <f t="shared" si="10"/>
        <v>LimousinPrunier</v>
      </c>
      <c r="N182" s="377" t="str">
        <f t="shared" si="11"/>
        <v>LimousinPrunierAutres</v>
      </c>
      <c r="P182" s="318" t="s">
        <v>24</v>
      </c>
      <c r="Q182" s="319" t="s">
        <v>170</v>
      </c>
      <c r="R182" s="319" t="s">
        <v>178</v>
      </c>
      <c r="S182" s="297"/>
      <c r="T182" s="297"/>
      <c r="U182" s="297"/>
      <c r="V182" s="299"/>
    </row>
    <row r="183" spans="2:22" ht="15.75" thickTop="1" x14ac:dyDescent="0.25">
      <c r="B183" s="371" t="str">
        <f t="shared" si="8"/>
        <v>LorraineAbricotier</v>
      </c>
      <c r="C183" s="371" t="str">
        <f t="shared" si="9"/>
        <v>LorraineAbricotierAbricotier</v>
      </c>
      <c r="E183" s="305" t="s">
        <v>25</v>
      </c>
      <c r="F183" s="306" t="s">
        <v>135</v>
      </c>
      <c r="G183" s="306" t="s">
        <v>135</v>
      </c>
      <c r="H183" s="295">
        <v>0.01</v>
      </c>
      <c r="I183" s="295">
        <v>0.62</v>
      </c>
      <c r="J183" s="295">
        <v>5.1100000000000003</v>
      </c>
      <c r="K183" s="298">
        <v>10.66</v>
      </c>
      <c r="L183" s="372"/>
      <c r="M183" s="377" t="str">
        <f t="shared" si="10"/>
        <v>LorraineAbricotier</v>
      </c>
      <c r="N183" s="377" t="str">
        <f t="shared" si="11"/>
        <v>LorraineAbricotierAbricotier</v>
      </c>
      <c r="P183" s="316" t="s">
        <v>25</v>
      </c>
      <c r="Q183" s="317" t="s">
        <v>135</v>
      </c>
      <c r="R183" s="317" t="s">
        <v>135</v>
      </c>
      <c r="S183" s="295"/>
      <c r="T183" s="295"/>
      <c r="U183" s="295"/>
      <c r="V183" s="298"/>
    </row>
    <row r="184" spans="2:22" x14ac:dyDescent="0.25">
      <c r="B184" s="371" t="str">
        <f t="shared" si="8"/>
        <v>LorraineAgrumes</v>
      </c>
      <c r="C184" s="371" t="str">
        <f t="shared" si="9"/>
        <v>LorraineAgrumesClémentinier</v>
      </c>
      <c r="E184" s="305" t="s">
        <v>25</v>
      </c>
      <c r="F184" s="306" t="s">
        <v>646</v>
      </c>
      <c r="G184" s="306" t="s">
        <v>143</v>
      </c>
      <c r="H184" s="295">
        <v>0</v>
      </c>
      <c r="I184" s="295">
        <v>0.3</v>
      </c>
      <c r="J184" s="295">
        <v>2</v>
      </c>
      <c r="K184" s="298">
        <v>5</v>
      </c>
      <c r="L184" s="372"/>
      <c r="M184" s="377" t="str">
        <f t="shared" si="10"/>
        <v>LorraineAgrumes</v>
      </c>
      <c r="N184" s="377" t="str">
        <f t="shared" si="11"/>
        <v>LorraineAgrumesClémentinier</v>
      </c>
      <c r="P184" s="316" t="s">
        <v>25</v>
      </c>
      <c r="Q184" s="317" t="s">
        <v>646</v>
      </c>
      <c r="R184" s="317" t="s">
        <v>143</v>
      </c>
      <c r="S184" s="295"/>
      <c r="T184" s="295"/>
      <c r="U184" s="295"/>
      <c r="V184" s="298"/>
    </row>
    <row r="185" spans="2:22" x14ac:dyDescent="0.25">
      <c r="B185" s="371" t="str">
        <f t="shared" si="8"/>
        <v>LorraineAutres</v>
      </c>
      <c r="C185" s="371" t="str">
        <f t="shared" si="9"/>
        <v>LorraineAutresPrunier</v>
      </c>
      <c r="E185" s="305" t="s">
        <v>25</v>
      </c>
      <c r="F185" s="306" t="s">
        <v>178</v>
      </c>
      <c r="G185" s="306" t="s">
        <v>170</v>
      </c>
      <c r="H185" s="295">
        <v>0</v>
      </c>
      <c r="I185" s="295">
        <v>0.59</v>
      </c>
      <c r="J185" s="295">
        <v>1.5</v>
      </c>
      <c r="K185" s="298">
        <v>9.0500000000000007</v>
      </c>
      <c r="L185" s="372"/>
      <c r="M185" s="377" t="str">
        <f t="shared" si="10"/>
        <v>LorraineAutres</v>
      </c>
      <c r="N185" s="377" t="str">
        <f t="shared" si="11"/>
        <v>LorraineAutresPrunier</v>
      </c>
      <c r="P185" s="316" t="s">
        <v>25</v>
      </c>
      <c r="Q185" s="317" t="s">
        <v>178</v>
      </c>
      <c r="R185" s="317" t="s">
        <v>170</v>
      </c>
      <c r="S185" s="295"/>
      <c r="T185" s="295"/>
      <c r="U185" s="295"/>
      <c r="V185" s="298"/>
    </row>
    <row r="186" spans="2:22" x14ac:dyDescent="0.25">
      <c r="B186" s="371" t="str">
        <f t="shared" si="8"/>
        <v>LorraineCerisier</v>
      </c>
      <c r="C186" s="371" t="str">
        <f t="shared" si="9"/>
        <v>LorraineCerisierCerisier</v>
      </c>
      <c r="E186" s="305" t="s">
        <v>25</v>
      </c>
      <c r="F186" s="306" t="s">
        <v>140</v>
      </c>
      <c r="G186" s="306" t="s">
        <v>140</v>
      </c>
      <c r="H186" s="295">
        <v>0.12</v>
      </c>
      <c r="I186" s="295">
        <v>0.81</v>
      </c>
      <c r="J186" s="295">
        <v>3.02</v>
      </c>
      <c r="K186" s="298">
        <v>6.1</v>
      </c>
      <c r="L186" s="372"/>
      <c r="M186" s="377" t="str">
        <f t="shared" si="10"/>
        <v>LorraineCerisier</v>
      </c>
      <c r="N186" s="377" t="str">
        <f t="shared" si="11"/>
        <v>LorraineCerisierCerisier</v>
      </c>
      <c r="P186" s="316" t="s">
        <v>25</v>
      </c>
      <c r="Q186" s="317" t="s">
        <v>140</v>
      </c>
      <c r="R186" s="317" t="s">
        <v>140</v>
      </c>
      <c r="S186" s="295"/>
      <c r="T186" s="295"/>
      <c r="U186" s="295"/>
      <c r="V186" s="298"/>
    </row>
    <row r="187" spans="2:22" x14ac:dyDescent="0.25">
      <c r="B187" s="371" t="str">
        <f t="shared" si="8"/>
        <v>LorraineMirabellier</v>
      </c>
      <c r="C187" s="371" t="str">
        <f t="shared" si="9"/>
        <v>LorraineMirabellierAutres</v>
      </c>
      <c r="E187" s="305" t="s">
        <v>25</v>
      </c>
      <c r="F187" s="306" t="s">
        <v>153</v>
      </c>
      <c r="G187" s="306" t="s">
        <v>178</v>
      </c>
      <c r="H187" s="295">
        <v>0</v>
      </c>
      <c r="I187" s="295">
        <v>0.59</v>
      </c>
      <c r="J187" s="295">
        <v>1.5</v>
      </c>
      <c r="K187" s="298">
        <v>9.0500000000000007</v>
      </c>
      <c r="L187" s="372"/>
      <c r="M187" s="377" t="str">
        <f t="shared" si="10"/>
        <v>LorraineMirabellier</v>
      </c>
      <c r="N187" s="377" t="str">
        <f t="shared" si="11"/>
        <v>LorraineMirabellierAutres</v>
      </c>
      <c r="P187" s="316" t="s">
        <v>25</v>
      </c>
      <c r="Q187" s="317" t="s">
        <v>153</v>
      </c>
      <c r="R187" s="317" t="s">
        <v>178</v>
      </c>
      <c r="S187" s="295"/>
      <c r="T187" s="295"/>
      <c r="U187" s="295"/>
      <c r="V187" s="298"/>
    </row>
    <row r="188" spans="2:22" x14ac:dyDescent="0.25">
      <c r="B188" s="371" t="str">
        <f t="shared" si="8"/>
        <v>LorraineNectarinier</v>
      </c>
      <c r="C188" s="371" t="str">
        <f t="shared" si="9"/>
        <v>LorraineNectarinierNectarinier-Pêcher</v>
      </c>
      <c r="E188" s="305" t="s">
        <v>25</v>
      </c>
      <c r="F188" s="306" t="s">
        <v>159</v>
      </c>
      <c r="G188" s="306" t="s">
        <v>647</v>
      </c>
      <c r="H188" s="295">
        <v>0.03</v>
      </c>
      <c r="I188" s="295">
        <v>0.84</v>
      </c>
      <c r="J188" s="295">
        <v>9.25</v>
      </c>
      <c r="K188" s="298">
        <v>19.38</v>
      </c>
      <c r="L188" s="372"/>
      <c r="M188" s="377" t="str">
        <f t="shared" si="10"/>
        <v>LorraineNectarinier</v>
      </c>
      <c r="N188" s="377" t="str">
        <f t="shared" si="11"/>
        <v>LorraineNectarinierNectarinier-Pêcher</v>
      </c>
      <c r="P188" s="316" t="s">
        <v>25</v>
      </c>
      <c r="Q188" s="317" t="s">
        <v>159</v>
      </c>
      <c r="R188" s="317" t="s">
        <v>647</v>
      </c>
      <c r="S188" s="295"/>
      <c r="T188" s="295"/>
      <c r="U188" s="295"/>
      <c r="V188" s="298"/>
    </row>
    <row r="189" spans="2:22" x14ac:dyDescent="0.25">
      <c r="B189" s="371" t="str">
        <f t="shared" si="8"/>
        <v>LorraineNoyer</v>
      </c>
      <c r="C189" s="371" t="str">
        <f t="shared" si="9"/>
        <v>LorraineNoyerAutres</v>
      </c>
      <c r="E189" s="305" t="s">
        <v>25</v>
      </c>
      <c r="F189" s="306" t="s">
        <v>162</v>
      </c>
      <c r="G189" s="306" t="s">
        <v>178</v>
      </c>
      <c r="H189" s="295">
        <v>0</v>
      </c>
      <c r="I189" s="295">
        <v>0.59</v>
      </c>
      <c r="J189" s="295">
        <v>1.5</v>
      </c>
      <c r="K189" s="298">
        <v>9.0500000000000007</v>
      </c>
      <c r="L189" s="372"/>
      <c r="M189" s="377" t="str">
        <f t="shared" si="10"/>
        <v>LorraineNoyer</v>
      </c>
      <c r="N189" s="377" t="str">
        <f t="shared" si="11"/>
        <v>LorraineNoyerAutres</v>
      </c>
      <c r="P189" s="316" t="s">
        <v>25</v>
      </c>
      <c r="Q189" s="317" t="s">
        <v>162</v>
      </c>
      <c r="R189" s="317" t="s">
        <v>178</v>
      </c>
      <c r="S189" s="295"/>
      <c r="T189" s="295"/>
      <c r="U189" s="295"/>
      <c r="V189" s="298"/>
    </row>
    <row r="190" spans="2:22" x14ac:dyDescent="0.25">
      <c r="B190" s="371" t="str">
        <f t="shared" si="8"/>
        <v>LorrainePêcher</v>
      </c>
      <c r="C190" s="371" t="str">
        <f t="shared" si="9"/>
        <v>LorrainePêcherNectarinier-Pêcher</v>
      </c>
      <c r="E190" s="305" t="s">
        <v>25</v>
      </c>
      <c r="F190" s="306" t="s">
        <v>166</v>
      </c>
      <c r="G190" s="306" t="s">
        <v>647</v>
      </c>
      <c r="H190" s="295">
        <v>0.03</v>
      </c>
      <c r="I190" s="295">
        <v>0.84</v>
      </c>
      <c r="J190" s="295">
        <v>9.25</v>
      </c>
      <c r="K190" s="298">
        <v>19.38</v>
      </c>
      <c r="L190" s="372"/>
      <c r="M190" s="377" t="str">
        <f t="shared" si="10"/>
        <v>LorrainePêcher</v>
      </c>
      <c r="N190" s="377" t="str">
        <f t="shared" si="11"/>
        <v>LorrainePêcherNectarinier-Pêcher</v>
      </c>
      <c r="P190" s="316" t="s">
        <v>25</v>
      </c>
      <c r="Q190" s="317" t="s">
        <v>166</v>
      </c>
      <c r="R190" s="317" t="s">
        <v>647</v>
      </c>
      <c r="S190" s="295"/>
      <c r="T190" s="295"/>
      <c r="U190" s="295"/>
      <c r="V190" s="298"/>
    </row>
    <row r="191" spans="2:22" x14ac:dyDescent="0.25">
      <c r="B191" s="371" t="str">
        <f t="shared" si="8"/>
        <v>LorrainePoirier</v>
      </c>
      <c r="C191" s="371" t="str">
        <f t="shared" si="9"/>
        <v>LorrainePoirierAutres</v>
      </c>
      <c r="E191" s="305" t="s">
        <v>25</v>
      </c>
      <c r="F191" s="306" t="s">
        <v>167</v>
      </c>
      <c r="G191" s="306" t="s">
        <v>178</v>
      </c>
      <c r="H191" s="295">
        <v>0</v>
      </c>
      <c r="I191" s="295">
        <v>0.59</v>
      </c>
      <c r="J191" s="295">
        <v>1.5</v>
      </c>
      <c r="K191" s="298">
        <v>9.0500000000000007</v>
      </c>
      <c r="L191" s="372"/>
      <c r="M191" s="377" t="str">
        <f t="shared" si="10"/>
        <v>LorrainePoirier</v>
      </c>
      <c r="N191" s="377" t="str">
        <f t="shared" si="11"/>
        <v>LorrainePoirierAutres</v>
      </c>
      <c r="P191" s="316" t="s">
        <v>25</v>
      </c>
      <c r="Q191" s="317" t="s">
        <v>167</v>
      </c>
      <c r="R191" s="317" t="s">
        <v>178</v>
      </c>
      <c r="S191" s="295"/>
      <c r="T191" s="295"/>
      <c r="U191" s="295"/>
      <c r="V191" s="298"/>
    </row>
    <row r="192" spans="2:22" x14ac:dyDescent="0.25">
      <c r="B192" s="371" t="str">
        <f t="shared" si="8"/>
        <v>LorrainePommier</v>
      </c>
      <c r="C192" s="371" t="str">
        <f t="shared" si="9"/>
        <v>LorrainePommierPommier</v>
      </c>
      <c r="E192" s="305" t="s">
        <v>25</v>
      </c>
      <c r="F192" s="306" t="s">
        <v>169</v>
      </c>
      <c r="G192" s="306" t="s">
        <v>169</v>
      </c>
      <c r="H192" s="295">
        <v>0.06</v>
      </c>
      <c r="I192" s="295">
        <v>0.87</v>
      </c>
      <c r="J192" s="295">
        <v>2.38</v>
      </c>
      <c r="K192" s="298">
        <v>20.88</v>
      </c>
      <c r="L192" s="372"/>
      <c r="M192" s="377" t="str">
        <f t="shared" si="10"/>
        <v>LorrainePommier</v>
      </c>
      <c r="N192" s="377" t="str">
        <f t="shared" si="11"/>
        <v>LorrainePommierPommier</v>
      </c>
      <c r="P192" s="316" t="s">
        <v>25</v>
      </c>
      <c r="Q192" s="317" t="s">
        <v>169</v>
      </c>
      <c r="R192" s="317" t="s">
        <v>169</v>
      </c>
      <c r="S192" s="295"/>
      <c r="T192" s="295"/>
      <c r="U192" s="295"/>
      <c r="V192" s="298"/>
    </row>
    <row r="193" spans="2:22" ht="15.75" thickBot="1" x14ac:dyDescent="0.3">
      <c r="B193" s="371" t="str">
        <f t="shared" si="8"/>
        <v>LorrainePrunier</v>
      </c>
      <c r="C193" s="371" t="str">
        <f t="shared" si="9"/>
        <v>LorrainePrunierPrunier</v>
      </c>
      <c r="E193" s="307" t="s">
        <v>25</v>
      </c>
      <c r="F193" s="308" t="s">
        <v>170</v>
      </c>
      <c r="G193" s="308" t="s">
        <v>170</v>
      </c>
      <c r="H193" s="297">
        <v>0</v>
      </c>
      <c r="I193" s="297">
        <v>0.59</v>
      </c>
      <c r="J193" s="297">
        <v>1.5</v>
      </c>
      <c r="K193" s="299">
        <v>9.0500000000000007</v>
      </c>
      <c r="L193" s="372"/>
      <c r="M193" s="377" t="str">
        <f t="shared" si="10"/>
        <v>LorrainePrunier</v>
      </c>
      <c r="N193" s="377" t="str">
        <f t="shared" si="11"/>
        <v>LorrainePrunierPrunier</v>
      </c>
      <c r="P193" s="318" t="s">
        <v>25</v>
      </c>
      <c r="Q193" s="319" t="s">
        <v>170</v>
      </c>
      <c r="R193" s="319" t="s">
        <v>170</v>
      </c>
      <c r="S193" s="297"/>
      <c r="T193" s="297"/>
      <c r="U193" s="297"/>
      <c r="V193" s="299"/>
    </row>
    <row r="194" spans="2:22" ht="15.75" thickTop="1" x14ac:dyDescent="0.25">
      <c r="B194" s="371" t="str">
        <f t="shared" si="8"/>
        <v>MartiniqueAbricotier</v>
      </c>
      <c r="C194" s="371" t="str">
        <f t="shared" si="9"/>
        <v>MartiniqueAbricotierBananier</v>
      </c>
      <c r="E194" s="305" t="s">
        <v>296</v>
      </c>
      <c r="F194" s="306" t="s">
        <v>135</v>
      </c>
      <c r="G194" s="306" t="s">
        <v>179</v>
      </c>
      <c r="H194" s="295">
        <v>0.68</v>
      </c>
      <c r="I194" s="295">
        <v>2.21</v>
      </c>
      <c r="J194" s="295">
        <v>2.67</v>
      </c>
      <c r="K194" s="298">
        <v>6.78</v>
      </c>
      <c r="L194" s="372"/>
      <c r="M194" s="377" t="str">
        <f t="shared" si="10"/>
        <v>MartiniqueAbricotier</v>
      </c>
      <c r="N194" s="377" t="str">
        <f t="shared" si="11"/>
        <v>MartiniqueAbricotierBananier</v>
      </c>
      <c r="P194" s="316" t="s">
        <v>296</v>
      </c>
      <c r="Q194" s="317" t="s">
        <v>135</v>
      </c>
      <c r="R194" s="317" t="s">
        <v>179</v>
      </c>
      <c r="S194" s="295"/>
      <c r="T194" s="295"/>
      <c r="U194" s="295"/>
      <c r="V194" s="298"/>
    </row>
    <row r="195" spans="2:22" x14ac:dyDescent="0.25">
      <c r="B195" s="371" t="str">
        <f t="shared" si="8"/>
        <v>MartiniqueAgrumes</v>
      </c>
      <c r="C195" s="371" t="str">
        <f t="shared" si="9"/>
        <v>MartiniqueAgrumesBananier</v>
      </c>
      <c r="E195" s="305" t="s">
        <v>296</v>
      </c>
      <c r="F195" s="306" t="s">
        <v>646</v>
      </c>
      <c r="G195" s="306" t="s">
        <v>179</v>
      </c>
      <c r="H195" s="295">
        <v>0.68</v>
      </c>
      <c r="I195" s="295">
        <v>2.21</v>
      </c>
      <c r="J195" s="295">
        <v>2.67</v>
      </c>
      <c r="K195" s="298">
        <v>6.78</v>
      </c>
      <c r="L195" s="372"/>
      <c r="M195" s="377" t="str">
        <f t="shared" si="10"/>
        <v>MartiniqueAgrumes</v>
      </c>
      <c r="N195" s="377" t="str">
        <f t="shared" si="11"/>
        <v>MartiniqueAgrumesBananier</v>
      </c>
      <c r="P195" s="316" t="s">
        <v>296</v>
      </c>
      <c r="Q195" s="317" t="s">
        <v>646</v>
      </c>
      <c r="R195" s="317" t="s">
        <v>179</v>
      </c>
      <c r="S195" s="295"/>
      <c r="T195" s="295"/>
      <c r="U195" s="295"/>
      <c r="V195" s="298"/>
    </row>
    <row r="196" spans="2:22" x14ac:dyDescent="0.25">
      <c r="B196" s="371" t="str">
        <f t="shared" si="8"/>
        <v>MartiniqueAutres</v>
      </c>
      <c r="C196" s="371" t="str">
        <f t="shared" si="9"/>
        <v>MartiniqueAutresBananier</v>
      </c>
      <c r="E196" s="305" t="s">
        <v>296</v>
      </c>
      <c r="F196" s="306" t="s">
        <v>178</v>
      </c>
      <c r="G196" s="306" t="s">
        <v>179</v>
      </c>
      <c r="H196" s="295">
        <v>0.68</v>
      </c>
      <c r="I196" s="295">
        <v>2.21</v>
      </c>
      <c r="J196" s="295">
        <v>2.67</v>
      </c>
      <c r="K196" s="298">
        <v>6.78</v>
      </c>
      <c r="L196" s="372"/>
      <c r="M196" s="377" t="str">
        <f t="shared" si="10"/>
        <v>MartiniqueAutres</v>
      </c>
      <c r="N196" s="377" t="str">
        <f t="shared" si="11"/>
        <v>MartiniqueAutresBananier</v>
      </c>
      <c r="P196" s="316" t="s">
        <v>296</v>
      </c>
      <c r="Q196" s="317" t="s">
        <v>178</v>
      </c>
      <c r="R196" s="317" t="s">
        <v>179</v>
      </c>
      <c r="S196" s="295"/>
      <c r="T196" s="295"/>
      <c r="U196" s="295"/>
      <c r="V196" s="298"/>
    </row>
    <row r="197" spans="2:22" x14ac:dyDescent="0.25">
      <c r="B197" s="371" t="str">
        <f t="shared" si="8"/>
        <v>MartiniqueBananier</v>
      </c>
      <c r="C197" s="371" t="str">
        <f t="shared" si="9"/>
        <v>MartiniqueBananierBananier</v>
      </c>
      <c r="E197" s="305" t="s">
        <v>296</v>
      </c>
      <c r="F197" s="306" t="s">
        <v>179</v>
      </c>
      <c r="G197" s="306" t="s">
        <v>179</v>
      </c>
      <c r="H197" s="295">
        <v>0.68</v>
      </c>
      <c r="I197" s="295">
        <v>2.21</v>
      </c>
      <c r="J197" s="295">
        <v>2.67</v>
      </c>
      <c r="K197" s="298">
        <v>6.78</v>
      </c>
      <c r="L197" s="372"/>
      <c r="M197" s="377" t="str">
        <f t="shared" si="10"/>
        <v>MartiniqueBananier</v>
      </c>
      <c r="N197" s="377" t="str">
        <f t="shared" si="11"/>
        <v>MartiniqueBananierBananier</v>
      </c>
      <c r="P197" s="316" t="s">
        <v>296</v>
      </c>
      <c r="Q197" s="317" t="s">
        <v>179</v>
      </c>
      <c r="R197" s="317" t="s">
        <v>179</v>
      </c>
      <c r="S197" s="295"/>
      <c r="T197" s="295"/>
      <c r="U197" s="295"/>
      <c r="V197" s="298"/>
    </row>
    <row r="198" spans="2:22" x14ac:dyDescent="0.25">
      <c r="B198" s="371" t="str">
        <f t="shared" ref="B198:B261" si="12">E198&amp;F198</f>
        <v>MartiniqueCerisier</v>
      </c>
      <c r="C198" s="371" t="str">
        <f t="shared" ref="C198:C261" si="13">E198&amp;F198&amp;G198</f>
        <v>MartiniqueCerisierBananier</v>
      </c>
      <c r="E198" s="305" t="s">
        <v>296</v>
      </c>
      <c r="F198" s="306" t="s">
        <v>140</v>
      </c>
      <c r="G198" s="306" t="s">
        <v>179</v>
      </c>
      <c r="H198" s="295">
        <v>0.68</v>
      </c>
      <c r="I198" s="295">
        <v>2.21</v>
      </c>
      <c r="J198" s="295">
        <v>2.67</v>
      </c>
      <c r="K198" s="298">
        <v>6.78</v>
      </c>
      <c r="L198" s="372"/>
      <c r="M198" s="377" t="str">
        <f t="shared" ref="M198:M261" si="14">P198&amp;Q198</f>
        <v>MartiniqueCerisier</v>
      </c>
      <c r="N198" s="377" t="str">
        <f t="shared" ref="N198:N261" si="15">P198&amp;Q198&amp;R198</f>
        <v>MartiniqueCerisierBananier</v>
      </c>
      <c r="P198" s="316" t="s">
        <v>296</v>
      </c>
      <c r="Q198" s="317" t="s">
        <v>140</v>
      </c>
      <c r="R198" s="317" t="s">
        <v>179</v>
      </c>
      <c r="S198" s="295"/>
      <c r="T198" s="295"/>
      <c r="U198" s="295"/>
      <c r="V198" s="298"/>
    </row>
    <row r="199" spans="2:22" x14ac:dyDescent="0.25">
      <c r="B199" s="371" t="str">
        <f t="shared" si="12"/>
        <v>MartiniqueMirabellier</v>
      </c>
      <c r="C199" s="371" t="str">
        <f t="shared" si="13"/>
        <v>MartiniqueMirabellierBananier</v>
      </c>
      <c r="E199" s="305" t="s">
        <v>296</v>
      </c>
      <c r="F199" s="306" t="s">
        <v>153</v>
      </c>
      <c r="G199" s="306" t="s">
        <v>179</v>
      </c>
      <c r="H199" s="295">
        <v>0.68</v>
      </c>
      <c r="I199" s="295">
        <v>2.21</v>
      </c>
      <c r="J199" s="295">
        <v>2.67</v>
      </c>
      <c r="K199" s="298">
        <v>6.78</v>
      </c>
      <c r="L199" s="372"/>
      <c r="M199" s="377" t="str">
        <f t="shared" si="14"/>
        <v>MartiniqueMirabellier</v>
      </c>
      <c r="N199" s="377" t="str">
        <f t="shared" si="15"/>
        <v>MartiniqueMirabellierBananier</v>
      </c>
      <c r="P199" s="316" t="s">
        <v>296</v>
      </c>
      <c r="Q199" s="317" t="s">
        <v>153</v>
      </c>
      <c r="R199" s="317" t="s">
        <v>179</v>
      </c>
      <c r="S199" s="295"/>
      <c r="T199" s="295"/>
      <c r="U199" s="295"/>
      <c r="V199" s="298"/>
    </row>
    <row r="200" spans="2:22" x14ac:dyDescent="0.25">
      <c r="B200" s="371" t="str">
        <f t="shared" si="12"/>
        <v>MartiniqueNectarinier</v>
      </c>
      <c r="C200" s="371" t="str">
        <f t="shared" si="13"/>
        <v>MartiniqueNectarinierBananier</v>
      </c>
      <c r="E200" s="305" t="s">
        <v>296</v>
      </c>
      <c r="F200" s="306" t="s">
        <v>159</v>
      </c>
      <c r="G200" s="306" t="s">
        <v>179</v>
      </c>
      <c r="H200" s="295">
        <v>0.68</v>
      </c>
      <c r="I200" s="295">
        <v>2.21</v>
      </c>
      <c r="J200" s="295">
        <v>2.67</v>
      </c>
      <c r="K200" s="298">
        <v>6.78</v>
      </c>
      <c r="L200" s="372"/>
      <c r="M200" s="377" t="str">
        <f t="shared" si="14"/>
        <v>MartiniqueNectarinier</v>
      </c>
      <c r="N200" s="377" t="str">
        <f t="shared" si="15"/>
        <v>MartiniqueNectarinierBananier</v>
      </c>
      <c r="P200" s="316" t="s">
        <v>296</v>
      </c>
      <c r="Q200" s="317" t="s">
        <v>159</v>
      </c>
      <c r="R200" s="317" t="s">
        <v>179</v>
      </c>
      <c r="S200" s="295"/>
      <c r="T200" s="295"/>
      <c r="U200" s="295"/>
      <c r="V200" s="298"/>
    </row>
    <row r="201" spans="2:22" x14ac:dyDescent="0.25">
      <c r="B201" s="371" t="str">
        <f t="shared" si="12"/>
        <v>MartiniqueNoyer</v>
      </c>
      <c r="C201" s="371" t="str">
        <f t="shared" si="13"/>
        <v>MartiniqueNoyerBananier</v>
      </c>
      <c r="E201" s="305" t="s">
        <v>296</v>
      </c>
      <c r="F201" s="306" t="s">
        <v>162</v>
      </c>
      <c r="G201" s="306" t="s">
        <v>179</v>
      </c>
      <c r="H201" s="295">
        <v>0.68</v>
      </c>
      <c r="I201" s="295">
        <v>2.21</v>
      </c>
      <c r="J201" s="295">
        <v>2.67</v>
      </c>
      <c r="K201" s="298">
        <v>6.78</v>
      </c>
      <c r="L201" s="372"/>
      <c r="M201" s="377" t="str">
        <f t="shared" si="14"/>
        <v>MartiniqueNoyer</v>
      </c>
      <c r="N201" s="377" t="str">
        <f t="shared" si="15"/>
        <v>MartiniqueNoyerBananier</v>
      </c>
      <c r="P201" s="316" t="s">
        <v>296</v>
      </c>
      <c r="Q201" s="317" t="s">
        <v>162</v>
      </c>
      <c r="R201" s="317" t="s">
        <v>179</v>
      </c>
      <c r="S201" s="295"/>
      <c r="T201" s="295"/>
      <c r="U201" s="295"/>
      <c r="V201" s="298"/>
    </row>
    <row r="202" spans="2:22" x14ac:dyDescent="0.25">
      <c r="B202" s="371" t="str">
        <f t="shared" si="12"/>
        <v>MartiniquePêcher</v>
      </c>
      <c r="C202" s="371" t="str">
        <f t="shared" si="13"/>
        <v>MartiniquePêcherBananier</v>
      </c>
      <c r="E202" s="305" t="s">
        <v>296</v>
      </c>
      <c r="F202" s="306" t="s">
        <v>166</v>
      </c>
      <c r="G202" s="306" t="s">
        <v>179</v>
      </c>
      <c r="H202" s="295">
        <v>0.68</v>
      </c>
      <c r="I202" s="295">
        <v>2.21</v>
      </c>
      <c r="J202" s="295">
        <v>2.67</v>
      </c>
      <c r="K202" s="298">
        <v>6.78</v>
      </c>
      <c r="L202" s="372"/>
      <c r="M202" s="377" t="str">
        <f t="shared" si="14"/>
        <v>MartiniquePêcher</v>
      </c>
      <c r="N202" s="377" t="str">
        <f t="shared" si="15"/>
        <v>MartiniquePêcherBananier</v>
      </c>
      <c r="P202" s="316" t="s">
        <v>296</v>
      </c>
      <c r="Q202" s="317" t="s">
        <v>166</v>
      </c>
      <c r="R202" s="317" t="s">
        <v>179</v>
      </c>
      <c r="S202" s="295"/>
      <c r="T202" s="295"/>
      <c r="U202" s="295"/>
      <c r="V202" s="298"/>
    </row>
    <row r="203" spans="2:22" x14ac:dyDescent="0.25">
      <c r="B203" s="371" t="str">
        <f t="shared" si="12"/>
        <v>MartiniquePoirier</v>
      </c>
      <c r="C203" s="371" t="str">
        <f t="shared" si="13"/>
        <v>MartiniquePoirierBananier</v>
      </c>
      <c r="E203" s="305" t="s">
        <v>296</v>
      </c>
      <c r="F203" s="306" t="s">
        <v>167</v>
      </c>
      <c r="G203" s="306" t="s">
        <v>179</v>
      </c>
      <c r="H203" s="295">
        <v>0.68</v>
      </c>
      <c r="I203" s="295">
        <v>2.21</v>
      </c>
      <c r="J203" s="295">
        <v>2.67</v>
      </c>
      <c r="K203" s="298">
        <v>6.78</v>
      </c>
      <c r="L203" s="372"/>
      <c r="M203" s="377" t="str">
        <f t="shared" si="14"/>
        <v>MartiniquePoirier</v>
      </c>
      <c r="N203" s="377" t="str">
        <f t="shared" si="15"/>
        <v>MartiniquePoirierBananier</v>
      </c>
      <c r="P203" s="316" t="s">
        <v>296</v>
      </c>
      <c r="Q203" s="317" t="s">
        <v>167</v>
      </c>
      <c r="R203" s="317" t="s">
        <v>179</v>
      </c>
      <c r="S203" s="295"/>
      <c r="T203" s="295"/>
      <c r="U203" s="295"/>
      <c r="V203" s="298"/>
    </row>
    <row r="204" spans="2:22" x14ac:dyDescent="0.25">
      <c r="B204" s="371" t="str">
        <f t="shared" si="12"/>
        <v>MartiniquePommier</v>
      </c>
      <c r="C204" s="371" t="str">
        <f t="shared" si="13"/>
        <v>MartiniquePommierBananier</v>
      </c>
      <c r="E204" s="305" t="s">
        <v>296</v>
      </c>
      <c r="F204" s="306" t="s">
        <v>169</v>
      </c>
      <c r="G204" s="306" t="s">
        <v>179</v>
      </c>
      <c r="H204" s="295">
        <v>0.68</v>
      </c>
      <c r="I204" s="295">
        <v>2.21</v>
      </c>
      <c r="J204" s="295">
        <v>2.67</v>
      </c>
      <c r="K204" s="298">
        <v>6.78</v>
      </c>
      <c r="L204" s="372"/>
      <c r="M204" s="377" t="str">
        <f t="shared" si="14"/>
        <v>MartiniquePommier</v>
      </c>
      <c r="N204" s="377" t="str">
        <f t="shared" si="15"/>
        <v>MartiniquePommierBananier</v>
      </c>
      <c r="P204" s="316" t="s">
        <v>296</v>
      </c>
      <c r="Q204" s="317" t="s">
        <v>169</v>
      </c>
      <c r="R204" s="317" t="s">
        <v>179</v>
      </c>
      <c r="S204" s="295"/>
      <c r="T204" s="295"/>
      <c r="U204" s="295"/>
      <c r="V204" s="298"/>
    </row>
    <row r="205" spans="2:22" ht="15.75" thickBot="1" x14ac:dyDescent="0.3">
      <c r="B205" s="371" t="str">
        <f t="shared" si="12"/>
        <v>MartiniquePrunier</v>
      </c>
      <c r="C205" s="371" t="str">
        <f t="shared" si="13"/>
        <v>MartiniquePrunierBananier</v>
      </c>
      <c r="E205" s="307" t="s">
        <v>296</v>
      </c>
      <c r="F205" s="308" t="s">
        <v>170</v>
      </c>
      <c r="G205" s="308" t="s">
        <v>179</v>
      </c>
      <c r="H205" s="297">
        <v>0.68</v>
      </c>
      <c r="I205" s="297">
        <v>2.21</v>
      </c>
      <c r="J205" s="297">
        <v>2.67</v>
      </c>
      <c r="K205" s="299">
        <v>6.78</v>
      </c>
      <c r="L205" s="372"/>
      <c r="M205" s="377" t="str">
        <f t="shared" si="14"/>
        <v>MartiniquePrunier</v>
      </c>
      <c r="N205" s="377" t="str">
        <f t="shared" si="15"/>
        <v>MartiniquePrunierBananier</v>
      </c>
      <c r="P205" s="318" t="s">
        <v>296</v>
      </c>
      <c r="Q205" s="319" t="s">
        <v>170</v>
      </c>
      <c r="R205" s="319" t="s">
        <v>179</v>
      </c>
      <c r="S205" s="297"/>
      <c r="T205" s="297"/>
      <c r="U205" s="297"/>
      <c r="V205" s="299"/>
    </row>
    <row r="206" spans="2:22" ht="15.75" thickTop="1" x14ac:dyDescent="0.25">
      <c r="B206" s="371" t="str">
        <f t="shared" si="12"/>
        <v>Midi-PyrénéesAbricotier</v>
      </c>
      <c r="C206" s="371" t="str">
        <f t="shared" si="13"/>
        <v>Midi-PyrénéesAbricotierAbricotier</v>
      </c>
      <c r="E206" s="305" t="s">
        <v>26</v>
      </c>
      <c r="F206" s="306" t="s">
        <v>135</v>
      </c>
      <c r="G206" s="306" t="s">
        <v>135</v>
      </c>
      <c r="H206" s="295">
        <v>0.01</v>
      </c>
      <c r="I206" s="295">
        <v>0.5</v>
      </c>
      <c r="J206" s="295">
        <v>5.18</v>
      </c>
      <c r="K206" s="298">
        <v>10.47</v>
      </c>
      <c r="L206" s="372"/>
      <c r="M206" s="377" t="str">
        <f t="shared" si="14"/>
        <v>Midi-PyrénéesAbricotier</v>
      </c>
      <c r="N206" s="377" t="str">
        <f t="shared" si="15"/>
        <v>Midi-PyrénéesAbricotierAbricotier</v>
      </c>
      <c r="P206" s="316" t="s">
        <v>26</v>
      </c>
      <c r="Q206" s="317" t="s">
        <v>135</v>
      </c>
      <c r="R206" s="317" t="s">
        <v>135</v>
      </c>
      <c r="S206" s="295"/>
      <c r="T206" s="295"/>
      <c r="U206" s="295"/>
      <c r="V206" s="298"/>
    </row>
    <row r="207" spans="2:22" x14ac:dyDescent="0.25">
      <c r="B207" s="371" t="str">
        <f t="shared" si="12"/>
        <v>Midi-PyrénéesAgrumes</v>
      </c>
      <c r="C207" s="371" t="str">
        <f t="shared" si="13"/>
        <v>Midi-PyrénéesAgrumesClémentinier</v>
      </c>
      <c r="E207" s="305" t="s">
        <v>26</v>
      </c>
      <c r="F207" s="306" t="s">
        <v>646</v>
      </c>
      <c r="G207" s="306" t="s">
        <v>143</v>
      </c>
      <c r="H207" s="295">
        <v>0</v>
      </c>
      <c r="I207" s="295">
        <v>0.3</v>
      </c>
      <c r="J207" s="295">
        <v>2</v>
      </c>
      <c r="K207" s="298">
        <v>5</v>
      </c>
      <c r="L207" s="372"/>
      <c r="M207" s="377" t="str">
        <f t="shared" si="14"/>
        <v>Midi-PyrénéesAgrumes</v>
      </c>
      <c r="N207" s="377" t="str">
        <f t="shared" si="15"/>
        <v>Midi-PyrénéesAgrumesClémentinier</v>
      </c>
      <c r="P207" s="316" t="s">
        <v>26</v>
      </c>
      <c r="Q207" s="317" t="s">
        <v>646</v>
      </c>
      <c r="R207" s="317" t="s">
        <v>143</v>
      </c>
      <c r="S207" s="295"/>
      <c r="T207" s="295"/>
      <c r="U207" s="295"/>
      <c r="V207" s="298"/>
    </row>
    <row r="208" spans="2:22" x14ac:dyDescent="0.25">
      <c r="B208" s="371" t="str">
        <f t="shared" si="12"/>
        <v>Midi-PyrénéesAutres</v>
      </c>
      <c r="C208" s="371" t="str">
        <f t="shared" si="13"/>
        <v>Midi-PyrénéesAutresPrunier</v>
      </c>
      <c r="E208" s="305" t="s">
        <v>26</v>
      </c>
      <c r="F208" s="306" t="s">
        <v>178</v>
      </c>
      <c r="G208" s="306" t="s">
        <v>170</v>
      </c>
      <c r="H208" s="295">
        <v>0.02</v>
      </c>
      <c r="I208" s="295">
        <v>0.38</v>
      </c>
      <c r="J208" s="295">
        <v>5.99</v>
      </c>
      <c r="K208" s="298">
        <v>10.46</v>
      </c>
      <c r="L208" s="372"/>
      <c r="M208" s="377" t="str">
        <f t="shared" si="14"/>
        <v>Midi-PyrénéesAutres</v>
      </c>
      <c r="N208" s="377" t="str">
        <f t="shared" si="15"/>
        <v>Midi-PyrénéesAutresPrunier</v>
      </c>
      <c r="P208" s="316" t="s">
        <v>26</v>
      </c>
      <c r="Q208" s="317" t="s">
        <v>178</v>
      </c>
      <c r="R208" s="317" t="s">
        <v>170</v>
      </c>
      <c r="S208" s="295"/>
      <c r="T208" s="295"/>
      <c r="U208" s="295"/>
      <c r="V208" s="298"/>
    </row>
    <row r="209" spans="2:22" x14ac:dyDescent="0.25">
      <c r="B209" s="371" t="str">
        <f t="shared" si="12"/>
        <v>Midi-PyrénéesCerisier</v>
      </c>
      <c r="C209" s="371" t="str">
        <f t="shared" si="13"/>
        <v>Midi-PyrénéesCerisierCerisier</v>
      </c>
      <c r="E209" s="305" t="s">
        <v>26</v>
      </c>
      <c r="F209" s="306" t="s">
        <v>140</v>
      </c>
      <c r="G209" s="306" t="s">
        <v>140</v>
      </c>
      <c r="H209" s="295">
        <v>0.03</v>
      </c>
      <c r="I209" s="295">
        <v>0.5</v>
      </c>
      <c r="J209" s="295">
        <v>6.03</v>
      </c>
      <c r="K209" s="298">
        <v>8.83</v>
      </c>
      <c r="L209" s="372"/>
      <c r="M209" s="377" t="str">
        <f t="shared" si="14"/>
        <v>Midi-PyrénéesCerisier</v>
      </c>
      <c r="N209" s="377" t="str">
        <f t="shared" si="15"/>
        <v>Midi-PyrénéesCerisierCerisier</v>
      </c>
      <c r="P209" s="316" t="s">
        <v>26</v>
      </c>
      <c r="Q209" s="317" t="s">
        <v>140</v>
      </c>
      <c r="R209" s="317" t="s">
        <v>140</v>
      </c>
      <c r="S209" s="295"/>
      <c r="T209" s="295"/>
      <c r="U209" s="295"/>
      <c r="V209" s="298"/>
    </row>
    <row r="210" spans="2:22" x14ac:dyDescent="0.25">
      <c r="B210" s="371" t="str">
        <f t="shared" si="12"/>
        <v>Midi-PyrénéesMirabellier</v>
      </c>
      <c r="C210" s="371" t="str">
        <f t="shared" si="13"/>
        <v>Midi-PyrénéesMirabellierAutres</v>
      </c>
      <c r="E210" s="305" t="s">
        <v>26</v>
      </c>
      <c r="F210" s="306" t="s">
        <v>153</v>
      </c>
      <c r="G210" s="306" t="s">
        <v>178</v>
      </c>
      <c r="H210" s="295">
        <v>0.02</v>
      </c>
      <c r="I210" s="295">
        <v>0.38</v>
      </c>
      <c r="J210" s="295">
        <v>5.99</v>
      </c>
      <c r="K210" s="298">
        <v>10.46</v>
      </c>
      <c r="L210" s="372"/>
      <c r="M210" s="377" t="str">
        <f t="shared" si="14"/>
        <v>Midi-PyrénéesMirabellier</v>
      </c>
      <c r="N210" s="377" t="str">
        <f t="shared" si="15"/>
        <v>Midi-PyrénéesMirabellierAutres</v>
      </c>
      <c r="P210" s="316" t="s">
        <v>26</v>
      </c>
      <c r="Q210" s="317" t="s">
        <v>153</v>
      </c>
      <c r="R210" s="317" t="s">
        <v>178</v>
      </c>
      <c r="S210" s="295"/>
      <c r="T210" s="295"/>
      <c r="U210" s="295"/>
      <c r="V210" s="298"/>
    </row>
    <row r="211" spans="2:22" x14ac:dyDescent="0.25">
      <c r="B211" s="371" t="str">
        <f t="shared" si="12"/>
        <v>Midi-PyrénéesNectarinier</v>
      </c>
      <c r="C211" s="371" t="str">
        <f t="shared" si="13"/>
        <v>Midi-PyrénéesNectarinierNectarinier-Pêcher</v>
      </c>
      <c r="E211" s="305" t="s">
        <v>26</v>
      </c>
      <c r="F211" s="306" t="s">
        <v>159</v>
      </c>
      <c r="G211" s="306" t="s">
        <v>647</v>
      </c>
      <c r="H211" s="295">
        <v>0.05</v>
      </c>
      <c r="I211" s="295">
        <v>0.45</v>
      </c>
      <c r="J211" s="295">
        <v>9.1999999999999993</v>
      </c>
      <c r="K211" s="298">
        <v>16.04</v>
      </c>
      <c r="L211" s="372"/>
      <c r="M211" s="377" t="str">
        <f t="shared" si="14"/>
        <v>Midi-PyrénéesNectarinier</v>
      </c>
      <c r="N211" s="377" t="str">
        <f t="shared" si="15"/>
        <v>Midi-PyrénéesNectarinierNectarinier-Pêcher</v>
      </c>
      <c r="P211" s="316" t="s">
        <v>26</v>
      </c>
      <c r="Q211" s="317" t="s">
        <v>159</v>
      </c>
      <c r="R211" s="317" t="s">
        <v>647</v>
      </c>
      <c r="S211" s="295"/>
      <c r="T211" s="295"/>
      <c r="U211" s="295"/>
      <c r="V211" s="298"/>
    </row>
    <row r="212" spans="2:22" x14ac:dyDescent="0.25">
      <c r="B212" s="371" t="str">
        <f t="shared" si="12"/>
        <v>Midi-PyrénéesNoyer</v>
      </c>
      <c r="C212" s="371" t="str">
        <f t="shared" si="13"/>
        <v>Midi-PyrénéesNoyerAutres</v>
      </c>
      <c r="E212" s="305" t="s">
        <v>26</v>
      </c>
      <c r="F212" s="306" t="s">
        <v>162</v>
      </c>
      <c r="G212" s="306" t="s">
        <v>178</v>
      </c>
      <c r="H212" s="295">
        <v>0.02</v>
      </c>
      <c r="I212" s="295">
        <v>0.38</v>
      </c>
      <c r="J212" s="295">
        <v>5.99</v>
      </c>
      <c r="K212" s="298">
        <v>10.46</v>
      </c>
      <c r="L212" s="372"/>
      <c r="M212" s="377" t="str">
        <f t="shared" si="14"/>
        <v>Midi-PyrénéesNoyer</v>
      </c>
      <c r="N212" s="377" t="str">
        <f t="shared" si="15"/>
        <v>Midi-PyrénéesNoyerAutres</v>
      </c>
      <c r="P212" s="316" t="s">
        <v>26</v>
      </c>
      <c r="Q212" s="317" t="s">
        <v>162</v>
      </c>
      <c r="R212" s="317" t="s">
        <v>178</v>
      </c>
      <c r="S212" s="295"/>
      <c r="T212" s="295"/>
      <c r="U212" s="295"/>
      <c r="V212" s="298"/>
    </row>
    <row r="213" spans="2:22" x14ac:dyDescent="0.25">
      <c r="B213" s="371" t="str">
        <f t="shared" si="12"/>
        <v>Midi-PyrénéesPêcher</v>
      </c>
      <c r="C213" s="371" t="str">
        <f t="shared" si="13"/>
        <v>Midi-PyrénéesPêcherNectarinier-Pêcher</v>
      </c>
      <c r="E213" s="305" t="s">
        <v>26</v>
      </c>
      <c r="F213" s="306" t="s">
        <v>166</v>
      </c>
      <c r="G213" s="306" t="s">
        <v>647</v>
      </c>
      <c r="H213" s="295">
        <v>0.05</v>
      </c>
      <c r="I213" s="295">
        <v>0.45</v>
      </c>
      <c r="J213" s="295">
        <v>9.1999999999999993</v>
      </c>
      <c r="K213" s="298">
        <v>16.04</v>
      </c>
      <c r="L213" s="372"/>
      <c r="M213" s="377" t="str">
        <f t="shared" si="14"/>
        <v>Midi-PyrénéesPêcher</v>
      </c>
      <c r="N213" s="377" t="str">
        <f t="shared" si="15"/>
        <v>Midi-PyrénéesPêcherNectarinier-Pêcher</v>
      </c>
      <c r="P213" s="316" t="s">
        <v>26</v>
      </c>
      <c r="Q213" s="317" t="s">
        <v>166</v>
      </c>
      <c r="R213" s="317" t="s">
        <v>647</v>
      </c>
      <c r="S213" s="295"/>
      <c r="T213" s="295"/>
      <c r="U213" s="295"/>
      <c r="V213" s="298"/>
    </row>
    <row r="214" spans="2:22" x14ac:dyDescent="0.25">
      <c r="B214" s="371" t="str">
        <f t="shared" si="12"/>
        <v>Midi-PyrénéesPoirier</v>
      </c>
      <c r="C214" s="371" t="str">
        <f t="shared" si="13"/>
        <v>Midi-PyrénéesPoirierAutres</v>
      </c>
      <c r="E214" s="305" t="s">
        <v>26</v>
      </c>
      <c r="F214" s="306" t="s">
        <v>167</v>
      </c>
      <c r="G214" s="306" t="s">
        <v>178</v>
      </c>
      <c r="H214" s="295">
        <v>0.02</v>
      </c>
      <c r="I214" s="295">
        <v>0.38</v>
      </c>
      <c r="J214" s="295">
        <v>5.99</v>
      </c>
      <c r="K214" s="298">
        <v>10.46</v>
      </c>
      <c r="L214" s="372"/>
      <c r="M214" s="377" t="str">
        <f t="shared" si="14"/>
        <v>Midi-PyrénéesPoirier</v>
      </c>
      <c r="N214" s="377" t="str">
        <f t="shared" si="15"/>
        <v>Midi-PyrénéesPoirierAutres</v>
      </c>
      <c r="P214" s="316" t="s">
        <v>26</v>
      </c>
      <c r="Q214" s="317" t="s">
        <v>167</v>
      </c>
      <c r="R214" s="317" t="s">
        <v>178</v>
      </c>
      <c r="S214" s="295"/>
      <c r="T214" s="295"/>
      <c r="U214" s="295"/>
      <c r="V214" s="298"/>
    </row>
    <row r="215" spans="2:22" x14ac:dyDescent="0.25">
      <c r="B215" s="371" t="str">
        <f t="shared" si="12"/>
        <v>Midi-PyrénéesPommier</v>
      </c>
      <c r="C215" s="371" t="str">
        <f t="shared" si="13"/>
        <v>Midi-PyrénéesPommierPommier</v>
      </c>
      <c r="E215" s="305" t="s">
        <v>26</v>
      </c>
      <c r="F215" s="306" t="s">
        <v>169</v>
      </c>
      <c r="G215" s="306" t="s">
        <v>169</v>
      </c>
      <c r="H215" s="295">
        <v>0.18</v>
      </c>
      <c r="I215" s="295">
        <v>1.08</v>
      </c>
      <c r="J215" s="295">
        <v>21.67</v>
      </c>
      <c r="K215" s="298">
        <v>35.19</v>
      </c>
      <c r="L215" s="372"/>
      <c r="M215" s="377" t="str">
        <f t="shared" si="14"/>
        <v>Midi-PyrénéesPommier</v>
      </c>
      <c r="N215" s="377" t="str">
        <f t="shared" si="15"/>
        <v>Midi-PyrénéesPommierPommier</v>
      </c>
      <c r="P215" s="316" t="s">
        <v>26</v>
      </c>
      <c r="Q215" s="317" t="s">
        <v>169</v>
      </c>
      <c r="R215" s="317" t="s">
        <v>169</v>
      </c>
      <c r="S215" s="295"/>
      <c r="T215" s="295"/>
      <c r="U215" s="295"/>
      <c r="V215" s="298"/>
    </row>
    <row r="216" spans="2:22" ht="15.75" thickBot="1" x14ac:dyDescent="0.3">
      <c r="B216" s="371" t="str">
        <f t="shared" si="12"/>
        <v>Midi-PyrénéesPrunier</v>
      </c>
      <c r="C216" s="371" t="str">
        <f t="shared" si="13"/>
        <v>Midi-PyrénéesPrunierPrunier</v>
      </c>
      <c r="E216" s="307" t="s">
        <v>26</v>
      </c>
      <c r="F216" s="308" t="s">
        <v>170</v>
      </c>
      <c r="G216" s="308" t="s">
        <v>170</v>
      </c>
      <c r="H216" s="297">
        <v>0.02</v>
      </c>
      <c r="I216" s="297">
        <v>0.38</v>
      </c>
      <c r="J216" s="297">
        <v>5.99</v>
      </c>
      <c r="K216" s="299">
        <v>10.46</v>
      </c>
      <c r="L216" s="372"/>
      <c r="M216" s="377" t="str">
        <f t="shared" si="14"/>
        <v>Midi-PyrénéesPrunier</v>
      </c>
      <c r="N216" s="377" t="str">
        <f t="shared" si="15"/>
        <v>Midi-PyrénéesPrunierPrunier</v>
      </c>
      <c r="P216" s="318" t="s">
        <v>26</v>
      </c>
      <c r="Q216" s="319" t="s">
        <v>170</v>
      </c>
      <c r="R216" s="319" t="s">
        <v>170</v>
      </c>
      <c r="S216" s="297"/>
      <c r="T216" s="297"/>
      <c r="U216" s="297"/>
      <c r="V216" s="299"/>
    </row>
    <row r="217" spans="2:22" ht="15.75" thickTop="1" x14ac:dyDescent="0.25">
      <c r="B217" s="371" t="str">
        <f t="shared" si="12"/>
        <v>Nord-Pas-de-CalaisAbricotier</v>
      </c>
      <c r="C217" s="371" t="str">
        <f t="shared" si="13"/>
        <v>Nord-Pas-de-CalaisAbricotierAbricotier</v>
      </c>
      <c r="E217" s="305" t="s">
        <v>27</v>
      </c>
      <c r="F217" s="306" t="s">
        <v>135</v>
      </c>
      <c r="G217" s="306" t="s">
        <v>135</v>
      </c>
      <c r="H217" s="295">
        <v>0.01</v>
      </c>
      <c r="I217" s="295">
        <v>0.62</v>
      </c>
      <c r="J217" s="295">
        <v>5.1100000000000003</v>
      </c>
      <c r="K217" s="298">
        <v>10.66</v>
      </c>
      <c r="L217" s="372"/>
      <c r="M217" s="377" t="str">
        <f t="shared" si="14"/>
        <v>Nord-Pas-de-CalaisAbricotier</v>
      </c>
      <c r="N217" s="377" t="str">
        <f t="shared" si="15"/>
        <v>Nord-Pas-de-CalaisAbricotierAbricotier</v>
      </c>
      <c r="P217" s="316" t="s">
        <v>27</v>
      </c>
      <c r="Q217" s="317" t="s">
        <v>135</v>
      </c>
      <c r="R217" s="317" t="s">
        <v>135</v>
      </c>
      <c r="S217" s="295"/>
      <c r="T217" s="295"/>
      <c r="U217" s="295"/>
      <c r="V217" s="298"/>
    </row>
    <row r="218" spans="2:22" x14ac:dyDescent="0.25">
      <c r="B218" s="371" t="str">
        <f t="shared" si="12"/>
        <v>Nord-Pas-de-CalaisAgrumes</v>
      </c>
      <c r="C218" s="371" t="str">
        <f t="shared" si="13"/>
        <v>Nord-Pas-de-CalaisAgrumesClémentinier</v>
      </c>
      <c r="E218" s="305" t="s">
        <v>27</v>
      </c>
      <c r="F218" s="306" t="s">
        <v>646</v>
      </c>
      <c r="G218" s="306" t="s">
        <v>143</v>
      </c>
      <c r="H218" s="295">
        <v>0</v>
      </c>
      <c r="I218" s="295">
        <v>0.3</v>
      </c>
      <c r="J218" s="295">
        <v>2</v>
      </c>
      <c r="K218" s="298">
        <v>5</v>
      </c>
      <c r="L218" s="372"/>
      <c r="M218" s="377" t="str">
        <f t="shared" si="14"/>
        <v>Nord-Pas-de-CalaisAgrumes</v>
      </c>
      <c r="N218" s="377" t="str">
        <f t="shared" si="15"/>
        <v>Nord-Pas-de-CalaisAgrumesClémentinier</v>
      </c>
      <c r="P218" s="316" t="s">
        <v>27</v>
      </c>
      <c r="Q218" s="317" t="s">
        <v>646</v>
      </c>
      <c r="R218" s="317" t="s">
        <v>143</v>
      </c>
      <c r="S218" s="295"/>
      <c r="T218" s="295"/>
      <c r="U218" s="295"/>
      <c r="V218" s="298"/>
    </row>
    <row r="219" spans="2:22" x14ac:dyDescent="0.25">
      <c r="B219" s="371" t="str">
        <f t="shared" si="12"/>
        <v>Nord-Pas-de-CalaisAutres</v>
      </c>
      <c r="C219" s="371" t="str">
        <f t="shared" si="13"/>
        <v>Nord-Pas-de-CalaisAutresPrunier</v>
      </c>
      <c r="E219" s="305" t="s">
        <v>27</v>
      </c>
      <c r="F219" s="306" t="s">
        <v>178</v>
      </c>
      <c r="G219" s="306" t="s">
        <v>170</v>
      </c>
      <c r="H219" s="295">
        <v>0.01</v>
      </c>
      <c r="I219" s="295">
        <v>0.33</v>
      </c>
      <c r="J219" s="295">
        <v>5.14</v>
      </c>
      <c r="K219" s="298">
        <v>9.34</v>
      </c>
      <c r="L219" s="372"/>
      <c r="M219" s="377" t="str">
        <f t="shared" si="14"/>
        <v>Nord-Pas-de-CalaisAutres</v>
      </c>
      <c r="N219" s="377" t="str">
        <f t="shared" si="15"/>
        <v>Nord-Pas-de-CalaisAutresPrunier</v>
      </c>
      <c r="P219" s="316" t="s">
        <v>27</v>
      </c>
      <c r="Q219" s="317" t="s">
        <v>178</v>
      </c>
      <c r="R219" s="317" t="s">
        <v>170</v>
      </c>
      <c r="S219" s="295"/>
      <c r="T219" s="295"/>
      <c r="U219" s="295"/>
      <c r="V219" s="298"/>
    </row>
    <row r="220" spans="2:22" x14ac:dyDescent="0.25">
      <c r="B220" s="371" t="str">
        <f t="shared" si="12"/>
        <v>Nord-Pas-de-CalaisCerisier</v>
      </c>
      <c r="C220" s="371" t="str">
        <f t="shared" si="13"/>
        <v>Nord-Pas-de-CalaisCerisierCerisier</v>
      </c>
      <c r="E220" s="305" t="s">
        <v>27</v>
      </c>
      <c r="F220" s="306" t="s">
        <v>140</v>
      </c>
      <c r="G220" s="306" t="s">
        <v>140</v>
      </c>
      <c r="H220" s="295">
        <v>0</v>
      </c>
      <c r="I220" s="295">
        <v>0.36</v>
      </c>
      <c r="J220" s="295">
        <v>4.0599999999999996</v>
      </c>
      <c r="K220" s="298">
        <v>8.0299999999999994</v>
      </c>
      <c r="L220" s="372"/>
      <c r="M220" s="377" t="str">
        <f t="shared" si="14"/>
        <v>Nord-Pas-de-CalaisCerisier</v>
      </c>
      <c r="N220" s="377" t="str">
        <f t="shared" si="15"/>
        <v>Nord-Pas-de-CalaisCerisierCerisier</v>
      </c>
      <c r="P220" s="316" t="s">
        <v>27</v>
      </c>
      <c r="Q220" s="317" t="s">
        <v>140</v>
      </c>
      <c r="R220" s="317" t="s">
        <v>140</v>
      </c>
      <c r="S220" s="295"/>
      <c r="T220" s="295"/>
      <c r="U220" s="295"/>
      <c r="V220" s="298"/>
    </row>
    <row r="221" spans="2:22" x14ac:dyDescent="0.25">
      <c r="B221" s="371" t="str">
        <f t="shared" si="12"/>
        <v>Nord-Pas-de-CalaisMirabellier</v>
      </c>
      <c r="C221" s="371" t="str">
        <f t="shared" si="13"/>
        <v>Nord-Pas-de-CalaisMirabellierAutres</v>
      </c>
      <c r="E221" s="305" t="s">
        <v>27</v>
      </c>
      <c r="F221" s="306" t="s">
        <v>153</v>
      </c>
      <c r="G221" s="306" t="s">
        <v>178</v>
      </c>
      <c r="H221" s="295">
        <v>0.01</v>
      </c>
      <c r="I221" s="295">
        <v>0.33</v>
      </c>
      <c r="J221" s="295">
        <v>5.14</v>
      </c>
      <c r="K221" s="298">
        <v>9.34</v>
      </c>
      <c r="L221" s="372"/>
      <c r="M221" s="377" t="str">
        <f t="shared" si="14"/>
        <v>Nord-Pas-de-CalaisMirabellier</v>
      </c>
      <c r="N221" s="377" t="str">
        <f t="shared" si="15"/>
        <v>Nord-Pas-de-CalaisMirabellierAutres</v>
      </c>
      <c r="P221" s="316" t="s">
        <v>27</v>
      </c>
      <c r="Q221" s="317" t="s">
        <v>153</v>
      </c>
      <c r="R221" s="317" t="s">
        <v>178</v>
      </c>
      <c r="S221" s="295"/>
      <c r="T221" s="295"/>
      <c r="U221" s="295"/>
      <c r="V221" s="298"/>
    </row>
    <row r="222" spans="2:22" x14ac:dyDescent="0.25">
      <c r="B222" s="371" t="str">
        <f t="shared" si="12"/>
        <v>Nord-Pas-de-CalaisNectarinier</v>
      </c>
      <c r="C222" s="371" t="str">
        <f t="shared" si="13"/>
        <v>Nord-Pas-de-CalaisNectarinierNectarinier-Pêcher</v>
      </c>
      <c r="E222" s="305" t="s">
        <v>27</v>
      </c>
      <c r="F222" s="306" t="s">
        <v>159</v>
      </c>
      <c r="G222" s="306" t="s">
        <v>647</v>
      </c>
      <c r="H222" s="295">
        <v>0.03</v>
      </c>
      <c r="I222" s="295">
        <v>0.84</v>
      </c>
      <c r="J222" s="295">
        <v>9.25</v>
      </c>
      <c r="K222" s="298">
        <v>19.38</v>
      </c>
      <c r="L222" s="372"/>
      <c r="M222" s="377" t="str">
        <f t="shared" si="14"/>
        <v>Nord-Pas-de-CalaisNectarinier</v>
      </c>
      <c r="N222" s="377" t="str">
        <f t="shared" si="15"/>
        <v>Nord-Pas-de-CalaisNectarinierNectarinier-Pêcher</v>
      </c>
      <c r="P222" s="316" t="s">
        <v>27</v>
      </c>
      <c r="Q222" s="317" t="s">
        <v>159</v>
      </c>
      <c r="R222" s="317" t="s">
        <v>647</v>
      </c>
      <c r="S222" s="295"/>
      <c r="T222" s="295"/>
      <c r="U222" s="295"/>
      <c r="V222" s="298"/>
    </row>
    <row r="223" spans="2:22" x14ac:dyDescent="0.25">
      <c r="B223" s="371" t="str">
        <f t="shared" si="12"/>
        <v>Nord-Pas-de-CalaisNoyer</v>
      </c>
      <c r="C223" s="371" t="str">
        <f t="shared" si="13"/>
        <v>Nord-Pas-de-CalaisNoyerAutres</v>
      </c>
      <c r="E223" s="305" t="s">
        <v>27</v>
      </c>
      <c r="F223" s="306" t="s">
        <v>162</v>
      </c>
      <c r="G223" s="306" t="s">
        <v>178</v>
      </c>
      <c r="H223" s="295">
        <v>0.01</v>
      </c>
      <c r="I223" s="295">
        <v>0.33</v>
      </c>
      <c r="J223" s="295">
        <v>5.14</v>
      </c>
      <c r="K223" s="298">
        <v>9.34</v>
      </c>
      <c r="L223" s="372"/>
      <c r="M223" s="377" t="str">
        <f t="shared" si="14"/>
        <v>Nord-Pas-de-CalaisNoyer</v>
      </c>
      <c r="N223" s="377" t="str">
        <f t="shared" si="15"/>
        <v>Nord-Pas-de-CalaisNoyerAutres</v>
      </c>
      <c r="P223" s="316" t="s">
        <v>27</v>
      </c>
      <c r="Q223" s="317" t="s">
        <v>162</v>
      </c>
      <c r="R223" s="317" t="s">
        <v>178</v>
      </c>
      <c r="S223" s="295"/>
      <c r="T223" s="295"/>
      <c r="U223" s="295"/>
      <c r="V223" s="298"/>
    </row>
    <row r="224" spans="2:22" x14ac:dyDescent="0.25">
      <c r="B224" s="371" t="str">
        <f t="shared" si="12"/>
        <v>Nord-Pas-de-CalaisPêcher</v>
      </c>
      <c r="C224" s="371" t="str">
        <f t="shared" si="13"/>
        <v>Nord-Pas-de-CalaisPêcherNectarinier-Pêcher</v>
      </c>
      <c r="E224" s="305" t="s">
        <v>27</v>
      </c>
      <c r="F224" s="306" t="s">
        <v>166</v>
      </c>
      <c r="G224" s="306" t="s">
        <v>647</v>
      </c>
      <c r="H224" s="295">
        <v>0.03</v>
      </c>
      <c r="I224" s="295">
        <v>0.84</v>
      </c>
      <c r="J224" s="295">
        <v>9.25</v>
      </c>
      <c r="K224" s="298">
        <v>19.38</v>
      </c>
      <c r="L224" s="372"/>
      <c r="M224" s="377" t="str">
        <f t="shared" si="14"/>
        <v>Nord-Pas-de-CalaisPêcher</v>
      </c>
      <c r="N224" s="377" t="str">
        <f t="shared" si="15"/>
        <v>Nord-Pas-de-CalaisPêcherNectarinier-Pêcher</v>
      </c>
      <c r="P224" s="316" t="s">
        <v>27</v>
      </c>
      <c r="Q224" s="317" t="s">
        <v>166</v>
      </c>
      <c r="R224" s="317" t="s">
        <v>647</v>
      </c>
      <c r="S224" s="295"/>
      <c r="T224" s="295"/>
      <c r="U224" s="295"/>
      <c r="V224" s="298"/>
    </row>
    <row r="225" spans="2:22" x14ac:dyDescent="0.25">
      <c r="B225" s="371" t="str">
        <f t="shared" si="12"/>
        <v>Nord-Pas-de-CalaisPoirier</v>
      </c>
      <c r="C225" s="371" t="str">
        <f t="shared" si="13"/>
        <v>Nord-Pas-de-CalaisPoirierAutres</v>
      </c>
      <c r="E225" s="305" t="s">
        <v>27</v>
      </c>
      <c r="F225" s="306" t="s">
        <v>167</v>
      </c>
      <c r="G225" s="306" t="s">
        <v>178</v>
      </c>
      <c r="H225" s="295">
        <v>0.01</v>
      </c>
      <c r="I225" s="295">
        <v>0.33</v>
      </c>
      <c r="J225" s="295">
        <v>5.14</v>
      </c>
      <c r="K225" s="298">
        <v>9.34</v>
      </c>
      <c r="L225" s="372"/>
      <c r="M225" s="377" t="str">
        <f t="shared" si="14"/>
        <v>Nord-Pas-de-CalaisPoirier</v>
      </c>
      <c r="N225" s="377" t="str">
        <f t="shared" si="15"/>
        <v>Nord-Pas-de-CalaisPoirierAutres</v>
      </c>
      <c r="P225" s="316" t="s">
        <v>27</v>
      </c>
      <c r="Q225" s="317" t="s">
        <v>167</v>
      </c>
      <c r="R225" s="317" t="s">
        <v>178</v>
      </c>
      <c r="S225" s="295"/>
      <c r="T225" s="295"/>
      <c r="U225" s="295"/>
      <c r="V225" s="298"/>
    </row>
    <row r="226" spans="2:22" x14ac:dyDescent="0.25">
      <c r="B226" s="371" t="str">
        <f t="shared" si="12"/>
        <v>Nord-Pas-de-CalaisPommier</v>
      </c>
      <c r="C226" s="371" t="str">
        <f t="shared" si="13"/>
        <v>Nord-Pas-de-CalaisPommierPommier</v>
      </c>
      <c r="E226" s="305" t="s">
        <v>27</v>
      </c>
      <c r="F226" s="306" t="s">
        <v>169</v>
      </c>
      <c r="G226" s="306" t="s">
        <v>169</v>
      </c>
      <c r="H226" s="295">
        <v>0</v>
      </c>
      <c r="I226" s="295">
        <v>0.53</v>
      </c>
      <c r="J226" s="295">
        <v>9.34</v>
      </c>
      <c r="K226" s="298">
        <v>22.96</v>
      </c>
      <c r="L226" s="372"/>
      <c r="M226" s="377" t="str">
        <f t="shared" si="14"/>
        <v>Nord-Pas-de-CalaisPommier</v>
      </c>
      <c r="N226" s="377" t="str">
        <f t="shared" si="15"/>
        <v>Nord-Pas-de-CalaisPommierPommier</v>
      </c>
      <c r="P226" s="316" t="s">
        <v>27</v>
      </c>
      <c r="Q226" s="317" t="s">
        <v>169</v>
      </c>
      <c r="R226" s="317" t="s">
        <v>169</v>
      </c>
      <c r="S226" s="295"/>
      <c r="T226" s="295"/>
      <c r="U226" s="295"/>
      <c r="V226" s="298"/>
    </row>
    <row r="227" spans="2:22" ht="15.75" thickBot="1" x14ac:dyDescent="0.3">
      <c r="B227" s="371" t="str">
        <f t="shared" si="12"/>
        <v>Nord-Pas-de-CalaisPrunier</v>
      </c>
      <c r="C227" s="371" t="str">
        <f t="shared" si="13"/>
        <v>Nord-Pas-de-CalaisPrunierAutres</v>
      </c>
      <c r="E227" s="307" t="s">
        <v>27</v>
      </c>
      <c r="F227" s="308" t="s">
        <v>170</v>
      </c>
      <c r="G227" s="308" t="s">
        <v>178</v>
      </c>
      <c r="H227" s="297">
        <v>0.01</v>
      </c>
      <c r="I227" s="297">
        <v>0.33</v>
      </c>
      <c r="J227" s="297">
        <v>5.14</v>
      </c>
      <c r="K227" s="299">
        <v>9.34</v>
      </c>
      <c r="L227" s="372"/>
      <c r="M227" s="377" t="str">
        <f t="shared" si="14"/>
        <v>Nord-Pas-de-CalaisPrunier</v>
      </c>
      <c r="N227" s="377" t="str">
        <f t="shared" si="15"/>
        <v>Nord-Pas-de-CalaisPrunierAutres</v>
      </c>
      <c r="P227" s="318" t="s">
        <v>27</v>
      </c>
      <c r="Q227" s="319" t="s">
        <v>170</v>
      </c>
      <c r="R227" s="319" t="s">
        <v>178</v>
      </c>
      <c r="S227" s="297"/>
      <c r="T227" s="297"/>
      <c r="U227" s="297"/>
      <c r="V227" s="299"/>
    </row>
    <row r="228" spans="2:22" ht="15.75" thickTop="1" x14ac:dyDescent="0.25">
      <c r="B228" s="371" t="str">
        <f t="shared" si="12"/>
        <v>Pays de la LoireAbricotier</v>
      </c>
      <c r="C228" s="371" t="str">
        <f t="shared" si="13"/>
        <v>Pays de la LoireAbricotierAbricotier</v>
      </c>
      <c r="E228" s="305" t="s">
        <v>28</v>
      </c>
      <c r="F228" s="306" t="s">
        <v>135</v>
      </c>
      <c r="G228" s="306" t="s">
        <v>135</v>
      </c>
      <c r="H228" s="295">
        <v>0.01</v>
      </c>
      <c r="I228" s="295">
        <v>0.62</v>
      </c>
      <c r="J228" s="295">
        <v>5.1100000000000003</v>
      </c>
      <c r="K228" s="298">
        <v>10.66</v>
      </c>
      <c r="L228" s="372"/>
      <c r="M228" s="377" t="str">
        <f t="shared" si="14"/>
        <v>Pays de la LoireAbricotier</v>
      </c>
      <c r="N228" s="377" t="str">
        <f t="shared" si="15"/>
        <v>Pays de la LoireAbricotierAbricotier</v>
      </c>
      <c r="P228" s="316" t="s">
        <v>28</v>
      </c>
      <c r="Q228" s="317" t="s">
        <v>135</v>
      </c>
      <c r="R228" s="317" t="s">
        <v>135</v>
      </c>
      <c r="S228" s="295"/>
      <c r="T228" s="295"/>
      <c r="U228" s="295"/>
      <c r="V228" s="298"/>
    </row>
    <row r="229" spans="2:22" x14ac:dyDescent="0.25">
      <c r="B229" s="371" t="str">
        <f t="shared" si="12"/>
        <v>Pays de la LoireAgrumes</v>
      </c>
      <c r="C229" s="371" t="str">
        <f t="shared" si="13"/>
        <v>Pays de la LoireAgrumesClémentinier</v>
      </c>
      <c r="E229" s="305" t="s">
        <v>28</v>
      </c>
      <c r="F229" s="306" t="s">
        <v>646</v>
      </c>
      <c r="G229" s="306" t="s">
        <v>143</v>
      </c>
      <c r="H229" s="295">
        <v>0</v>
      </c>
      <c r="I229" s="295">
        <v>0.3</v>
      </c>
      <c r="J229" s="295">
        <v>2</v>
      </c>
      <c r="K229" s="298">
        <v>5</v>
      </c>
      <c r="L229" s="372"/>
      <c r="M229" s="377" t="str">
        <f t="shared" si="14"/>
        <v>Pays de la LoireAgrumes</v>
      </c>
      <c r="N229" s="377" t="str">
        <f t="shared" si="15"/>
        <v>Pays de la LoireAgrumesClémentinier</v>
      </c>
      <c r="P229" s="316" t="s">
        <v>28</v>
      </c>
      <c r="Q229" s="317" t="s">
        <v>646</v>
      </c>
      <c r="R229" s="317" t="s">
        <v>143</v>
      </c>
      <c r="S229" s="295"/>
      <c r="T229" s="295"/>
      <c r="U229" s="295"/>
      <c r="V229" s="298"/>
    </row>
    <row r="230" spans="2:22" x14ac:dyDescent="0.25">
      <c r="B230" s="371" t="str">
        <f t="shared" si="12"/>
        <v>Pays de la LoireAutres</v>
      </c>
      <c r="C230" s="371" t="str">
        <f t="shared" si="13"/>
        <v>Pays de la LoireAutresPrunier</v>
      </c>
      <c r="E230" s="305" t="s">
        <v>28</v>
      </c>
      <c r="F230" s="306" t="s">
        <v>178</v>
      </c>
      <c r="G230" s="306" t="s">
        <v>170</v>
      </c>
      <c r="H230" s="295">
        <v>0.01</v>
      </c>
      <c r="I230" s="295">
        <v>0.33</v>
      </c>
      <c r="J230" s="295">
        <v>5.14</v>
      </c>
      <c r="K230" s="298">
        <v>9.34</v>
      </c>
      <c r="L230" s="372"/>
      <c r="M230" s="377" t="str">
        <f t="shared" si="14"/>
        <v>Pays de la LoireAutres</v>
      </c>
      <c r="N230" s="377" t="str">
        <f t="shared" si="15"/>
        <v>Pays de la LoireAutresPrunier</v>
      </c>
      <c r="P230" s="316" t="s">
        <v>28</v>
      </c>
      <c r="Q230" s="317" t="s">
        <v>178</v>
      </c>
      <c r="R230" s="317" t="s">
        <v>170</v>
      </c>
      <c r="S230" s="295"/>
      <c r="T230" s="295"/>
      <c r="U230" s="295"/>
      <c r="V230" s="298"/>
    </row>
    <row r="231" spans="2:22" x14ac:dyDescent="0.25">
      <c r="B231" s="371" t="str">
        <f t="shared" si="12"/>
        <v>Pays de la LoireCerisier</v>
      </c>
      <c r="C231" s="371" t="str">
        <f t="shared" si="13"/>
        <v>Pays de la LoireCerisierCerisier</v>
      </c>
      <c r="E231" s="305" t="s">
        <v>28</v>
      </c>
      <c r="F231" s="306" t="s">
        <v>140</v>
      </c>
      <c r="G231" s="306" t="s">
        <v>140</v>
      </c>
      <c r="H231" s="295">
        <v>0</v>
      </c>
      <c r="I231" s="295">
        <v>0.73</v>
      </c>
      <c r="J231" s="295">
        <v>4.28</v>
      </c>
      <c r="K231" s="298">
        <v>7.88</v>
      </c>
      <c r="L231" s="372"/>
      <c r="M231" s="377" t="str">
        <f t="shared" si="14"/>
        <v>Pays de la LoireCerisier</v>
      </c>
      <c r="N231" s="377" t="str">
        <f t="shared" si="15"/>
        <v>Pays de la LoireCerisierCerisier</v>
      </c>
      <c r="P231" s="316" t="s">
        <v>28</v>
      </c>
      <c r="Q231" s="317" t="s">
        <v>140</v>
      </c>
      <c r="R231" s="317" t="s">
        <v>140</v>
      </c>
      <c r="S231" s="295"/>
      <c r="T231" s="295"/>
      <c r="U231" s="295"/>
      <c r="V231" s="298"/>
    </row>
    <row r="232" spans="2:22" x14ac:dyDescent="0.25">
      <c r="B232" s="371" t="str">
        <f t="shared" si="12"/>
        <v>Pays de la LoireMirabellier</v>
      </c>
      <c r="C232" s="371" t="str">
        <f t="shared" si="13"/>
        <v>Pays de la LoireMirabellierAutres</v>
      </c>
      <c r="E232" s="305" t="s">
        <v>28</v>
      </c>
      <c r="F232" s="306" t="s">
        <v>153</v>
      </c>
      <c r="G232" s="306" t="s">
        <v>178</v>
      </c>
      <c r="H232" s="295">
        <v>0.01</v>
      </c>
      <c r="I232" s="295">
        <v>0.33</v>
      </c>
      <c r="J232" s="295">
        <v>5.14</v>
      </c>
      <c r="K232" s="298">
        <v>9.34</v>
      </c>
      <c r="L232" s="372"/>
      <c r="M232" s="377" t="str">
        <f t="shared" si="14"/>
        <v>Pays de la LoireMirabellier</v>
      </c>
      <c r="N232" s="377" t="str">
        <f t="shared" si="15"/>
        <v>Pays de la LoireMirabellierAutres</v>
      </c>
      <c r="P232" s="316" t="s">
        <v>28</v>
      </c>
      <c r="Q232" s="317" t="s">
        <v>153</v>
      </c>
      <c r="R232" s="317" t="s">
        <v>178</v>
      </c>
      <c r="S232" s="295"/>
      <c r="T232" s="295"/>
      <c r="U232" s="295"/>
      <c r="V232" s="298"/>
    </row>
    <row r="233" spans="2:22" x14ac:dyDescent="0.25">
      <c r="B233" s="371" t="str">
        <f t="shared" si="12"/>
        <v>Pays de la LoireNectarinier</v>
      </c>
      <c r="C233" s="371" t="str">
        <f t="shared" si="13"/>
        <v>Pays de la LoireNectarinierNectarinier-Pêcher</v>
      </c>
      <c r="E233" s="305" t="s">
        <v>28</v>
      </c>
      <c r="F233" s="306" t="s">
        <v>159</v>
      </c>
      <c r="G233" s="306" t="s">
        <v>647</v>
      </c>
      <c r="H233" s="295">
        <v>0.03</v>
      </c>
      <c r="I233" s="295">
        <v>0.84</v>
      </c>
      <c r="J233" s="295">
        <v>9.25</v>
      </c>
      <c r="K233" s="298">
        <v>19.38</v>
      </c>
      <c r="L233" s="372"/>
      <c r="M233" s="377" t="str">
        <f t="shared" si="14"/>
        <v>Pays de la LoireNectarinier</v>
      </c>
      <c r="N233" s="377" t="str">
        <f t="shared" si="15"/>
        <v>Pays de la LoireNectarinierNectarinier-Pêcher</v>
      </c>
      <c r="P233" s="316" t="s">
        <v>28</v>
      </c>
      <c r="Q233" s="317" t="s">
        <v>159</v>
      </c>
      <c r="R233" s="317" t="s">
        <v>647</v>
      </c>
      <c r="S233" s="295"/>
      <c r="T233" s="295"/>
      <c r="U233" s="295"/>
      <c r="V233" s="298"/>
    </row>
    <row r="234" spans="2:22" x14ac:dyDescent="0.25">
      <c r="B234" s="371" t="str">
        <f t="shared" si="12"/>
        <v>Pays de la LoireNoyer</v>
      </c>
      <c r="C234" s="371" t="str">
        <f t="shared" si="13"/>
        <v>Pays de la LoireNoyerAutres</v>
      </c>
      <c r="E234" s="305" t="s">
        <v>28</v>
      </c>
      <c r="F234" s="306" t="s">
        <v>162</v>
      </c>
      <c r="G234" s="306" t="s">
        <v>178</v>
      </c>
      <c r="H234" s="295">
        <v>0.01</v>
      </c>
      <c r="I234" s="295">
        <v>0.33</v>
      </c>
      <c r="J234" s="295">
        <v>5.14</v>
      </c>
      <c r="K234" s="298">
        <v>9.34</v>
      </c>
      <c r="L234" s="372"/>
      <c r="M234" s="377" t="str">
        <f t="shared" si="14"/>
        <v>Pays de la LoireNoyer</v>
      </c>
      <c r="N234" s="377" t="str">
        <f t="shared" si="15"/>
        <v>Pays de la LoireNoyerAutres</v>
      </c>
      <c r="P234" s="316" t="s">
        <v>28</v>
      </c>
      <c r="Q234" s="317" t="s">
        <v>162</v>
      </c>
      <c r="R234" s="317" t="s">
        <v>178</v>
      </c>
      <c r="S234" s="295"/>
      <c r="T234" s="295"/>
      <c r="U234" s="295"/>
      <c r="V234" s="298"/>
    </row>
    <row r="235" spans="2:22" x14ac:dyDescent="0.25">
      <c r="B235" s="371" t="str">
        <f t="shared" si="12"/>
        <v>Pays de la LoirePêcher</v>
      </c>
      <c r="C235" s="371" t="str">
        <f t="shared" si="13"/>
        <v>Pays de la LoirePêcherNectarinier-Pêcher</v>
      </c>
      <c r="E235" s="305" t="s">
        <v>28</v>
      </c>
      <c r="F235" s="306" t="s">
        <v>166</v>
      </c>
      <c r="G235" s="306" t="s">
        <v>647</v>
      </c>
      <c r="H235" s="295">
        <v>0.03</v>
      </c>
      <c r="I235" s="295">
        <v>0.84</v>
      </c>
      <c r="J235" s="295">
        <v>9.25</v>
      </c>
      <c r="K235" s="298">
        <v>19.38</v>
      </c>
      <c r="L235" s="372"/>
      <c r="M235" s="377" t="str">
        <f t="shared" si="14"/>
        <v>Pays de la LoirePêcher</v>
      </c>
      <c r="N235" s="377" t="str">
        <f t="shared" si="15"/>
        <v>Pays de la LoirePêcherNectarinier-Pêcher</v>
      </c>
      <c r="P235" s="316" t="s">
        <v>28</v>
      </c>
      <c r="Q235" s="317" t="s">
        <v>166</v>
      </c>
      <c r="R235" s="317" t="s">
        <v>647</v>
      </c>
      <c r="S235" s="295"/>
      <c r="T235" s="295"/>
      <c r="U235" s="295"/>
      <c r="V235" s="298"/>
    </row>
    <row r="236" spans="2:22" x14ac:dyDescent="0.25">
      <c r="B236" s="371" t="str">
        <f t="shared" si="12"/>
        <v>Pays de la LoirePoirier</v>
      </c>
      <c r="C236" s="371" t="str">
        <f t="shared" si="13"/>
        <v>Pays de la LoirePoirierAutres</v>
      </c>
      <c r="E236" s="305" t="s">
        <v>28</v>
      </c>
      <c r="F236" s="306" t="s">
        <v>167</v>
      </c>
      <c r="G236" s="306" t="s">
        <v>178</v>
      </c>
      <c r="H236" s="295">
        <v>0.01</v>
      </c>
      <c r="I236" s="295">
        <v>0.33</v>
      </c>
      <c r="J236" s="295">
        <v>5.14</v>
      </c>
      <c r="K236" s="298">
        <v>9.34</v>
      </c>
      <c r="L236" s="372"/>
      <c r="M236" s="377" t="str">
        <f t="shared" si="14"/>
        <v>Pays de la LoirePoirier</v>
      </c>
      <c r="N236" s="377" t="str">
        <f t="shared" si="15"/>
        <v>Pays de la LoirePoirierAutres</v>
      </c>
      <c r="P236" s="316" t="s">
        <v>28</v>
      </c>
      <c r="Q236" s="317" t="s">
        <v>167</v>
      </c>
      <c r="R236" s="317" t="s">
        <v>178</v>
      </c>
      <c r="S236" s="295"/>
      <c r="T236" s="295"/>
      <c r="U236" s="295"/>
      <c r="V236" s="298"/>
    </row>
    <row r="237" spans="2:22" x14ac:dyDescent="0.25">
      <c r="B237" s="371" t="str">
        <f t="shared" si="12"/>
        <v>Pays de la LoirePommier</v>
      </c>
      <c r="C237" s="371" t="str">
        <f t="shared" si="13"/>
        <v>Pays de la LoirePommierPommier</v>
      </c>
      <c r="E237" s="305" t="s">
        <v>28</v>
      </c>
      <c r="F237" s="306" t="s">
        <v>169</v>
      </c>
      <c r="G237" s="306" t="s">
        <v>169</v>
      </c>
      <c r="H237" s="295">
        <v>0.06</v>
      </c>
      <c r="I237" s="295">
        <v>0.83</v>
      </c>
      <c r="J237" s="295">
        <v>22.56</v>
      </c>
      <c r="K237" s="298">
        <v>37.67</v>
      </c>
      <c r="L237" s="372"/>
      <c r="M237" s="377" t="str">
        <f t="shared" si="14"/>
        <v>Pays de la LoirePommier</v>
      </c>
      <c r="N237" s="377" t="str">
        <f t="shared" si="15"/>
        <v>Pays de la LoirePommierPommier</v>
      </c>
      <c r="P237" s="316" t="s">
        <v>28</v>
      </c>
      <c r="Q237" s="317" t="s">
        <v>169</v>
      </c>
      <c r="R237" s="317" t="s">
        <v>169</v>
      </c>
      <c r="S237" s="295"/>
      <c r="T237" s="295"/>
      <c r="U237" s="295"/>
      <c r="V237" s="298"/>
    </row>
    <row r="238" spans="2:22" ht="15.75" thickBot="1" x14ac:dyDescent="0.3">
      <c r="B238" s="371" t="str">
        <f t="shared" si="12"/>
        <v>Pays de la LoirePrunier</v>
      </c>
      <c r="C238" s="371" t="str">
        <f t="shared" si="13"/>
        <v>Pays de la LoirePrunierAutres</v>
      </c>
      <c r="E238" s="307" t="s">
        <v>28</v>
      </c>
      <c r="F238" s="308" t="s">
        <v>170</v>
      </c>
      <c r="G238" s="308" t="s">
        <v>178</v>
      </c>
      <c r="H238" s="297">
        <v>0.01</v>
      </c>
      <c r="I238" s="297">
        <v>0.33</v>
      </c>
      <c r="J238" s="297">
        <v>5.14</v>
      </c>
      <c r="K238" s="299">
        <v>9.34</v>
      </c>
      <c r="L238" s="372"/>
      <c r="M238" s="377" t="str">
        <f t="shared" si="14"/>
        <v>Pays de la LoirePrunier</v>
      </c>
      <c r="N238" s="377" t="str">
        <f t="shared" si="15"/>
        <v>Pays de la LoirePrunierAutres</v>
      </c>
      <c r="P238" s="318" t="s">
        <v>28</v>
      </c>
      <c r="Q238" s="319" t="s">
        <v>170</v>
      </c>
      <c r="R238" s="319" t="s">
        <v>178</v>
      </c>
      <c r="S238" s="297"/>
      <c r="T238" s="297"/>
      <c r="U238" s="297"/>
      <c r="V238" s="299"/>
    </row>
    <row r="239" spans="2:22" ht="15.75" thickTop="1" x14ac:dyDescent="0.25">
      <c r="B239" s="371" t="str">
        <f t="shared" si="12"/>
        <v>PicardieAbricotier</v>
      </c>
      <c r="C239" s="371" t="str">
        <f t="shared" si="13"/>
        <v>PicardieAbricotierAbricotier</v>
      </c>
      <c r="E239" s="305" t="s">
        <v>29</v>
      </c>
      <c r="F239" s="306" t="s">
        <v>135</v>
      </c>
      <c r="G239" s="306" t="s">
        <v>135</v>
      </c>
      <c r="H239" s="295">
        <v>0.01</v>
      </c>
      <c r="I239" s="295">
        <v>0.62</v>
      </c>
      <c r="J239" s="295">
        <v>5.1100000000000003</v>
      </c>
      <c r="K239" s="298">
        <v>10.66</v>
      </c>
      <c r="L239" s="372"/>
      <c r="M239" s="377" t="str">
        <f t="shared" si="14"/>
        <v>PicardieAbricotier</v>
      </c>
      <c r="N239" s="377" t="str">
        <f t="shared" si="15"/>
        <v>PicardieAbricotierAbricotier</v>
      </c>
      <c r="P239" s="316" t="s">
        <v>29</v>
      </c>
      <c r="Q239" s="317" t="s">
        <v>135</v>
      </c>
      <c r="R239" s="317" t="s">
        <v>135</v>
      </c>
      <c r="S239" s="295"/>
      <c r="T239" s="295"/>
      <c r="U239" s="295"/>
      <c r="V239" s="298"/>
    </row>
    <row r="240" spans="2:22" x14ac:dyDescent="0.25">
      <c r="B240" s="371" t="str">
        <f t="shared" si="12"/>
        <v>PicardieAgrumes</v>
      </c>
      <c r="C240" s="371" t="str">
        <f t="shared" si="13"/>
        <v>PicardieAgrumesClémentinier</v>
      </c>
      <c r="E240" s="305" t="s">
        <v>29</v>
      </c>
      <c r="F240" s="306" t="s">
        <v>646</v>
      </c>
      <c r="G240" s="306" t="s">
        <v>143</v>
      </c>
      <c r="H240" s="295">
        <v>0</v>
      </c>
      <c r="I240" s="295">
        <v>0.3</v>
      </c>
      <c r="J240" s="295">
        <v>2</v>
      </c>
      <c r="K240" s="298">
        <v>5</v>
      </c>
      <c r="L240" s="372"/>
      <c r="M240" s="377" t="str">
        <f t="shared" si="14"/>
        <v>PicardieAgrumes</v>
      </c>
      <c r="N240" s="377" t="str">
        <f t="shared" si="15"/>
        <v>PicardieAgrumesClémentinier</v>
      </c>
      <c r="P240" s="316" t="s">
        <v>29</v>
      </c>
      <c r="Q240" s="317" t="s">
        <v>646</v>
      </c>
      <c r="R240" s="317" t="s">
        <v>143</v>
      </c>
      <c r="S240" s="295"/>
      <c r="T240" s="295"/>
      <c r="U240" s="295"/>
      <c r="V240" s="298"/>
    </row>
    <row r="241" spans="2:22" x14ac:dyDescent="0.25">
      <c r="B241" s="371" t="str">
        <f t="shared" si="12"/>
        <v>PicardieAutres</v>
      </c>
      <c r="C241" s="371" t="str">
        <f t="shared" si="13"/>
        <v>PicardieAutresPrunier</v>
      </c>
      <c r="E241" s="305" t="s">
        <v>29</v>
      </c>
      <c r="F241" s="306" t="s">
        <v>178</v>
      </c>
      <c r="G241" s="306" t="s">
        <v>170</v>
      </c>
      <c r="H241" s="295">
        <v>0.01</v>
      </c>
      <c r="I241" s="295">
        <v>0.33</v>
      </c>
      <c r="J241" s="295">
        <v>5.14</v>
      </c>
      <c r="K241" s="298">
        <v>9.34</v>
      </c>
      <c r="L241" s="372"/>
      <c r="M241" s="377" t="str">
        <f t="shared" si="14"/>
        <v>PicardieAutres</v>
      </c>
      <c r="N241" s="377" t="str">
        <f t="shared" si="15"/>
        <v>PicardieAutresPrunier</v>
      </c>
      <c r="P241" s="316" t="s">
        <v>29</v>
      </c>
      <c r="Q241" s="317" t="s">
        <v>178</v>
      </c>
      <c r="R241" s="317" t="s">
        <v>170</v>
      </c>
      <c r="S241" s="295"/>
      <c r="T241" s="295"/>
      <c r="U241" s="295"/>
      <c r="V241" s="298"/>
    </row>
    <row r="242" spans="2:22" x14ac:dyDescent="0.25">
      <c r="B242" s="371" t="str">
        <f t="shared" si="12"/>
        <v>PicardieCerisier</v>
      </c>
      <c r="C242" s="371" t="str">
        <f t="shared" si="13"/>
        <v>PicardieCerisierCerisier</v>
      </c>
      <c r="E242" s="305" t="s">
        <v>29</v>
      </c>
      <c r="F242" s="306" t="s">
        <v>140</v>
      </c>
      <c r="G242" s="306" t="s">
        <v>140</v>
      </c>
      <c r="H242" s="295">
        <v>0</v>
      </c>
      <c r="I242" s="295">
        <v>0.36</v>
      </c>
      <c r="J242" s="295">
        <v>4.0599999999999996</v>
      </c>
      <c r="K242" s="298">
        <v>8.0299999999999994</v>
      </c>
      <c r="L242" s="372"/>
      <c r="M242" s="377" t="str">
        <f t="shared" si="14"/>
        <v>PicardieCerisier</v>
      </c>
      <c r="N242" s="377" t="str">
        <f t="shared" si="15"/>
        <v>PicardieCerisierCerisier</v>
      </c>
      <c r="P242" s="316" t="s">
        <v>29</v>
      </c>
      <c r="Q242" s="317" t="s">
        <v>140</v>
      </c>
      <c r="R242" s="317" t="s">
        <v>140</v>
      </c>
      <c r="S242" s="295"/>
      <c r="T242" s="295"/>
      <c r="U242" s="295"/>
      <c r="V242" s="298"/>
    </row>
    <row r="243" spans="2:22" x14ac:dyDescent="0.25">
      <c r="B243" s="371" t="str">
        <f t="shared" si="12"/>
        <v>PicardieMirabellier</v>
      </c>
      <c r="C243" s="371" t="str">
        <f t="shared" si="13"/>
        <v>PicardieMirabellierAutres</v>
      </c>
      <c r="E243" s="305" t="s">
        <v>29</v>
      </c>
      <c r="F243" s="306" t="s">
        <v>153</v>
      </c>
      <c r="G243" s="306" t="s">
        <v>178</v>
      </c>
      <c r="H243" s="295">
        <v>0.01</v>
      </c>
      <c r="I243" s="295">
        <v>0.33</v>
      </c>
      <c r="J243" s="295">
        <v>5.14</v>
      </c>
      <c r="K243" s="298">
        <v>9.34</v>
      </c>
      <c r="L243" s="372"/>
      <c r="M243" s="377" t="str">
        <f t="shared" si="14"/>
        <v>PicardieMirabellier</v>
      </c>
      <c r="N243" s="377" t="str">
        <f t="shared" si="15"/>
        <v>PicardieMirabellierAutres</v>
      </c>
      <c r="P243" s="316" t="s">
        <v>29</v>
      </c>
      <c r="Q243" s="317" t="s">
        <v>153</v>
      </c>
      <c r="R243" s="317" t="s">
        <v>178</v>
      </c>
      <c r="S243" s="295"/>
      <c r="T243" s="295"/>
      <c r="U243" s="295"/>
      <c r="V243" s="298"/>
    </row>
    <row r="244" spans="2:22" x14ac:dyDescent="0.25">
      <c r="B244" s="371" t="str">
        <f t="shared" si="12"/>
        <v>PicardieNectarinier</v>
      </c>
      <c r="C244" s="371" t="str">
        <f t="shared" si="13"/>
        <v>PicardieNectarinierNectarinier-Pêcher</v>
      </c>
      <c r="E244" s="305" t="s">
        <v>29</v>
      </c>
      <c r="F244" s="306" t="s">
        <v>159</v>
      </c>
      <c r="G244" s="306" t="s">
        <v>647</v>
      </c>
      <c r="H244" s="295">
        <v>0.03</v>
      </c>
      <c r="I244" s="295">
        <v>0.84</v>
      </c>
      <c r="J244" s="295">
        <v>9.25</v>
      </c>
      <c r="K244" s="298">
        <v>19.38</v>
      </c>
      <c r="L244" s="372"/>
      <c r="M244" s="377" t="str">
        <f t="shared" si="14"/>
        <v>PicardieNectarinier</v>
      </c>
      <c r="N244" s="377" t="str">
        <f t="shared" si="15"/>
        <v>PicardieNectarinierNectarinier-Pêcher</v>
      </c>
      <c r="P244" s="316" t="s">
        <v>29</v>
      </c>
      <c r="Q244" s="317" t="s">
        <v>159</v>
      </c>
      <c r="R244" s="317" t="s">
        <v>647</v>
      </c>
      <c r="S244" s="295"/>
      <c r="T244" s="295"/>
      <c r="U244" s="295"/>
      <c r="V244" s="298"/>
    </row>
    <row r="245" spans="2:22" x14ac:dyDescent="0.25">
      <c r="B245" s="371" t="str">
        <f t="shared" si="12"/>
        <v>PicardieNoyer</v>
      </c>
      <c r="C245" s="371" t="str">
        <f t="shared" si="13"/>
        <v>PicardieNoyerAutres</v>
      </c>
      <c r="E245" s="305" t="s">
        <v>29</v>
      </c>
      <c r="F245" s="306" t="s">
        <v>162</v>
      </c>
      <c r="G245" s="306" t="s">
        <v>178</v>
      </c>
      <c r="H245" s="295">
        <v>0.01</v>
      </c>
      <c r="I245" s="295">
        <v>0.33</v>
      </c>
      <c r="J245" s="295">
        <v>5.14</v>
      </c>
      <c r="K245" s="298">
        <v>9.34</v>
      </c>
      <c r="L245" s="372"/>
      <c r="M245" s="377" t="str">
        <f t="shared" si="14"/>
        <v>PicardieNoyer</v>
      </c>
      <c r="N245" s="377" t="str">
        <f t="shared" si="15"/>
        <v>PicardieNoyerAutres</v>
      </c>
      <c r="P245" s="316" t="s">
        <v>29</v>
      </c>
      <c r="Q245" s="317" t="s">
        <v>162</v>
      </c>
      <c r="R245" s="317" t="s">
        <v>178</v>
      </c>
      <c r="S245" s="295"/>
      <c r="T245" s="295"/>
      <c r="U245" s="295"/>
      <c r="V245" s="298"/>
    </row>
    <row r="246" spans="2:22" x14ac:dyDescent="0.25">
      <c r="B246" s="371" t="str">
        <f t="shared" si="12"/>
        <v>PicardiePêcher</v>
      </c>
      <c r="C246" s="371" t="str">
        <f t="shared" si="13"/>
        <v>PicardiePêcherNectarinier-Pêcher</v>
      </c>
      <c r="E246" s="305" t="s">
        <v>29</v>
      </c>
      <c r="F246" s="306" t="s">
        <v>166</v>
      </c>
      <c r="G246" s="306" t="s">
        <v>647</v>
      </c>
      <c r="H246" s="295">
        <v>0.03</v>
      </c>
      <c r="I246" s="295">
        <v>0.84</v>
      </c>
      <c r="J246" s="295">
        <v>9.25</v>
      </c>
      <c r="K246" s="298">
        <v>19.38</v>
      </c>
      <c r="L246" s="372"/>
      <c r="M246" s="377" t="str">
        <f t="shared" si="14"/>
        <v>PicardiePêcher</v>
      </c>
      <c r="N246" s="377" t="str">
        <f t="shared" si="15"/>
        <v>PicardiePêcherNectarinier-Pêcher</v>
      </c>
      <c r="P246" s="316" t="s">
        <v>29</v>
      </c>
      <c r="Q246" s="317" t="s">
        <v>166</v>
      </c>
      <c r="R246" s="317" t="s">
        <v>647</v>
      </c>
      <c r="S246" s="295"/>
      <c r="T246" s="295"/>
      <c r="U246" s="295"/>
      <c r="V246" s="298"/>
    </row>
    <row r="247" spans="2:22" x14ac:dyDescent="0.25">
      <c r="B247" s="371" t="str">
        <f t="shared" si="12"/>
        <v>PicardiePoirier</v>
      </c>
      <c r="C247" s="371" t="str">
        <f t="shared" si="13"/>
        <v>PicardiePoirierAutres</v>
      </c>
      <c r="E247" s="305" t="s">
        <v>29</v>
      </c>
      <c r="F247" s="306" t="s">
        <v>167</v>
      </c>
      <c r="G247" s="306" t="s">
        <v>178</v>
      </c>
      <c r="H247" s="295">
        <v>0.01</v>
      </c>
      <c r="I247" s="295">
        <v>0.33</v>
      </c>
      <c r="J247" s="295">
        <v>5.14</v>
      </c>
      <c r="K247" s="298">
        <v>9.34</v>
      </c>
      <c r="L247" s="372"/>
      <c r="M247" s="377" t="str">
        <f t="shared" si="14"/>
        <v>PicardiePoirier</v>
      </c>
      <c r="N247" s="377" t="str">
        <f t="shared" si="15"/>
        <v>PicardiePoirierAutres</v>
      </c>
      <c r="P247" s="316" t="s">
        <v>29</v>
      </c>
      <c r="Q247" s="317" t="s">
        <v>167</v>
      </c>
      <c r="R247" s="317" t="s">
        <v>178</v>
      </c>
      <c r="S247" s="295"/>
      <c r="T247" s="295"/>
      <c r="U247" s="295"/>
      <c r="V247" s="298"/>
    </row>
    <row r="248" spans="2:22" x14ac:dyDescent="0.25">
      <c r="B248" s="371" t="str">
        <f t="shared" si="12"/>
        <v>PicardiePommier</v>
      </c>
      <c r="C248" s="371" t="str">
        <f t="shared" si="13"/>
        <v>PicardiePommierPommier</v>
      </c>
      <c r="E248" s="305" t="s">
        <v>29</v>
      </c>
      <c r="F248" s="306" t="s">
        <v>169</v>
      </c>
      <c r="G248" s="306" t="s">
        <v>169</v>
      </c>
      <c r="H248" s="295">
        <v>0.04</v>
      </c>
      <c r="I248" s="295">
        <v>0.67</v>
      </c>
      <c r="J248" s="295">
        <v>11.76</v>
      </c>
      <c r="K248" s="298">
        <v>28.31</v>
      </c>
      <c r="L248" s="372"/>
      <c r="M248" s="377" t="str">
        <f t="shared" si="14"/>
        <v>PicardiePommier</v>
      </c>
      <c r="N248" s="377" t="str">
        <f t="shared" si="15"/>
        <v>PicardiePommierPommier</v>
      </c>
      <c r="P248" s="316" t="s">
        <v>29</v>
      </c>
      <c r="Q248" s="317" t="s">
        <v>169</v>
      </c>
      <c r="R248" s="317" t="s">
        <v>169</v>
      </c>
      <c r="S248" s="295"/>
      <c r="T248" s="295"/>
      <c r="U248" s="295"/>
      <c r="V248" s="298"/>
    </row>
    <row r="249" spans="2:22" ht="15.75" thickBot="1" x14ac:dyDescent="0.3">
      <c r="B249" s="371" t="str">
        <f t="shared" si="12"/>
        <v>PicardiePrunier</v>
      </c>
      <c r="C249" s="371" t="str">
        <f t="shared" si="13"/>
        <v>PicardiePrunierAutres</v>
      </c>
      <c r="E249" s="307" t="s">
        <v>29</v>
      </c>
      <c r="F249" s="308" t="s">
        <v>170</v>
      </c>
      <c r="G249" s="308" t="s">
        <v>178</v>
      </c>
      <c r="H249" s="297">
        <v>0.01</v>
      </c>
      <c r="I249" s="297">
        <v>0.33</v>
      </c>
      <c r="J249" s="297">
        <v>5.14</v>
      </c>
      <c r="K249" s="299">
        <v>9.34</v>
      </c>
      <c r="L249" s="372"/>
      <c r="M249" s="377" t="str">
        <f t="shared" si="14"/>
        <v>PicardiePrunier</v>
      </c>
      <c r="N249" s="377" t="str">
        <f t="shared" si="15"/>
        <v>PicardiePrunierAutres</v>
      </c>
      <c r="P249" s="318" t="s">
        <v>29</v>
      </c>
      <c r="Q249" s="319" t="s">
        <v>170</v>
      </c>
      <c r="R249" s="319" t="s">
        <v>178</v>
      </c>
      <c r="S249" s="297"/>
      <c r="T249" s="297"/>
      <c r="U249" s="297"/>
      <c r="V249" s="299"/>
    </row>
    <row r="250" spans="2:22" ht="15.75" thickTop="1" x14ac:dyDescent="0.25">
      <c r="B250" s="371" t="str">
        <f t="shared" si="12"/>
        <v>Poitou-CharentesAbricotier</v>
      </c>
      <c r="C250" s="371" t="str">
        <f t="shared" si="13"/>
        <v>Poitou-CharentesAbricotierAbricotier</v>
      </c>
      <c r="E250" s="305" t="s">
        <v>30</v>
      </c>
      <c r="F250" s="306" t="s">
        <v>135</v>
      </c>
      <c r="G250" s="306" t="s">
        <v>135</v>
      </c>
      <c r="H250" s="295">
        <v>0.01</v>
      </c>
      <c r="I250" s="295">
        <v>0.62</v>
      </c>
      <c r="J250" s="295">
        <v>5.1100000000000003</v>
      </c>
      <c r="K250" s="298">
        <v>10.66</v>
      </c>
      <c r="L250" s="372"/>
      <c r="M250" s="377" t="str">
        <f t="shared" si="14"/>
        <v>Poitou-CharentesAbricotier</v>
      </c>
      <c r="N250" s="377" t="str">
        <f t="shared" si="15"/>
        <v>Poitou-CharentesAbricotierAbricotier</v>
      </c>
      <c r="P250" s="316" t="s">
        <v>30</v>
      </c>
      <c r="Q250" s="317" t="s">
        <v>135</v>
      </c>
      <c r="R250" s="317" t="s">
        <v>135</v>
      </c>
      <c r="S250" s="295"/>
      <c r="T250" s="295"/>
      <c r="U250" s="295"/>
      <c r="V250" s="298"/>
    </row>
    <row r="251" spans="2:22" x14ac:dyDescent="0.25">
      <c r="B251" s="371" t="str">
        <f t="shared" si="12"/>
        <v>Poitou-CharentesAgrumes</v>
      </c>
      <c r="C251" s="371" t="str">
        <f t="shared" si="13"/>
        <v>Poitou-CharentesAgrumesClémentinier</v>
      </c>
      <c r="E251" s="305" t="s">
        <v>30</v>
      </c>
      <c r="F251" s="306" t="s">
        <v>646</v>
      </c>
      <c r="G251" s="306" t="s">
        <v>143</v>
      </c>
      <c r="H251" s="295">
        <v>0</v>
      </c>
      <c r="I251" s="295">
        <v>0.3</v>
      </c>
      <c r="J251" s="295">
        <v>2</v>
      </c>
      <c r="K251" s="298">
        <v>5</v>
      </c>
      <c r="L251" s="372"/>
      <c r="M251" s="377" t="str">
        <f t="shared" si="14"/>
        <v>Poitou-CharentesAgrumes</v>
      </c>
      <c r="N251" s="377" t="str">
        <f t="shared" si="15"/>
        <v>Poitou-CharentesAgrumesClémentinier</v>
      </c>
      <c r="P251" s="316" t="s">
        <v>30</v>
      </c>
      <c r="Q251" s="317" t="s">
        <v>646</v>
      </c>
      <c r="R251" s="317" t="s">
        <v>143</v>
      </c>
      <c r="S251" s="295"/>
      <c r="T251" s="295"/>
      <c r="U251" s="295"/>
      <c r="V251" s="298"/>
    </row>
    <row r="252" spans="2:22" x14ac:dyDescent="0.25">
      <c r="B252" s="371" t="str">
        <f t="shared" si="12"/>
        <v>Poitou-CharentesAutres</v>
      </c>
      <c r="C252" s="371" t="str">
        <f t="shared" si="13"/>
        <v>Poitou-CharentesAutresPrunier</v>
      </c>
      <c r="E252" s="305" t="s">
        <v>30</v>
      </c>
      <c r="F252" s="306" t="s">
        <v>178</v>
      </c>
      <c r="G252" s="306" t="s">
        <v>170</v>
      </c>
      <c r="H252" s="295">
        <v>0.01</v>
      </c>
      <c r="I252" s="295">
        <v>0.33</v>
      </c>
      <c r="J252" s="295">
        <v>5.14</v>
      </c>
      <c r="K252" s="298">
        <v>9.34</v>
      </c>
      <c r="L252" s="372"/>
      <c r="M252" s="377" t="str">
        <f t="shared" si="14"/>
        <v>Poitou-CharentesAutres</v>
      </c>
      <c r="N252" s="377" t="str">
        <f t="shared" si="15"/>
        <v>Poitou-CharentesAutresPrunier</v>
      </c>
      <c r="P252" s="316" t="s">
        <v>30</v>
      </c>
      <c r="Q252" s="317" t="s">
        <v>178</v>
      </c>
      <c r="R252" s="317" t="s">
        <v>170</v>
      </c>
      <c r="S252" s="295"/>
      <c r="T252" s="295"/>
      <c r="U252" s="295"/>
      <c r="V252" s="298"/>
    </row>
    <row r="253" spans="2:22" x14ac:dyDescent="0.25">
      <c r="B253" s="371" t="str">
        <f t="shared" si="12"/>
        <v>Poitou-CharentesCerisier</v>
      </c>
      <c r="C253" s="371" t="str">
        <f t="shared" si="13"/>
        <v>Poitou-CharentesCerisierCerisier</v>
      </c>
      <c r="E253" s="305" t="s">
        <v>30</v>
      </c>
      <c r="F253" s="306" t="s">
        <v>140</v>
      </c>
      <c r="G253" s="306" t="s">
        <v>140</v>
      </c>
      <c r="H253" s="295">
        <v>0</v>
      </c>
      <c r="I253" s="295">
        <v>0.36</v>
      </c>
      <c r="J253" s="295">
        <v>4.0599999999999996</v>
      </c>
      <c r="K253" s="298">
        <v>8.0299999999999994</v>
      </c>
      <c r="L253" s="372"/>
      <c r="M253" s="377" t="str">
        <f t="shared" si="14"/>
        <v>Poitou-CharentesCerisier</v>
      </c>
      <c r="N253" s="377" t="str">
        <f t="shared" si="15"/>
        <v>Poitou-CharentesCerisierCerisier</v>
      </c>
      <c r="P253" s="316" t="s">
        <v>30</v>
      </c>
      <c r="Q253" s="317" t="s">
        <v>140</v>
      </c>
      <c r="R253" s="317" t="s">
        <v>140</v>
      </c>
      <c r="S253" s="295"/>
      <c r="T253" s="295"/>
      <c r="U253" s="295"/>
      <c r="V253" s="298"/>
    </row>
    <row r="254" spans="2:22" x14ac:dyDescent="0.25">
      <c r="B254" s="371" t="str">
        <f t="shared" si="12"/>
        <v>Poitou-CharentesMirabellier</v>
      </c>
      <c r="C254" s="371" t="str">
        <f t="shared" si="13"/>
        <v>Poitou-CharentesMirabellierAutres</v>
      </c>
      <c r="E254" s="305" t="s">
        <v>30</v>
      </c>
      <c r="F254" s="306" t="s">
        <v>153</v>
      </c>
      <c r="G254" s="306" t="s">
        <v>178</v>
      </c>
      <c r="H254" s="295">
        <v>0.01</v>
      </c>
      <c r="I254" s="295">
        <v>0.33</v>
      </c>
      <c r="J254" s="295">
        <v>5.14</v>
      </c>
      <c r="K254" s="298">
        <v>9.34</v>
      </c>
      <c r="L254" s="372"/>
      <c r="M254" s="377" t="str">
        <f t="shared" si="14"/>
        <v>Poitou-CharentesMirabellier</v>
      </c>
      <c r="N254" s="377" t="str">
        <f t="shared" si="15"/>
        <v>Poitou-CharentesMirabellierAutres</v>
      </c>
      <c r="P254" s="316" t="s">
        <v>30</v>
      </c>
      <c r="Q254" s="317" t="s">
        <v>153</v>
      </c>
      <c r="R254" s="317" t="s">
        <v>178</v>
      </c>
      <c r="S254" s="295"/>
      <c r="T254" s="295"/>
      <c r="U254" s="295"/>
      <c r="V254" s="298"/>
    </row>
    <row r="255" spans="2:22" x14ac:dyDescent="0.25">
      <c r="B255" s="371" t="str">
        <f t="shared" si="12"/>
        <v>Poitou-CharentesNectarinier</v>
      </c>
      <c r="C255" s="371" t="str">
        <f t="shared" si="13"/>
        <v>Poitou-CharentesNectarinierNectarinier-Pêcher</v>
      </c>
      <c r="E255" s="305" t="s">
        <v>30</v>
      </c>
      <c r="F255" s="306" t="s">
        <v>159</v>
      </c>
      <c r="G255" s="306" t="s">
        <v>647</v>
      </c>
      <c r="H255" s="295">
        <v>0.03</v>
      </c>
      <c r="I255" s="295">
        <v>0.84</v>
      </c>
      <c r="J255" s="295">
        <v>9.25</v>
      </c>
      <c r="K255" s="298">
        <v>19.38</v>
      </c>
      <c r="L255" s="372"/>
      <c r="M255" s="377" t="str">
        <f t="shared" si="14"/>
        <v>Poitou-CharentesNectarinier</v>
      </c>
      <c r="N255" s="377" t="str">
        <f t="shared" si="15"/>
        <v>Poitou-CharentesNectarinierNectarinier-Pêcher</v>
      </c>
      <c r="P255" s="316" t="s">
        <v>30</v>
      </c>
      <c r="Q255" s="317" t="s">
        <v>159</v>
      </c>
      <c r="R255" s="317" t="s">
        <v>647</v>
      </c>
      <c r="S255" s="295"/>
      <c r="T255" s="295"/>
      <c r="U255" s="295"/>
      <c r="V255" s="298"/>
    </row>
    <row r="256" spans="2:22" x14ac:dyDescent="0.25">
      <c r="B256" s="371" t="str">
        <f t="shared" si="12"/>
        <v>Poitou-CharentesNoyer</v>
      </c>
      <c r="C256" s="371" t="str">
        <f t="shared" si="13"/>
        <v>Poitou-CharentesNoyerAutres</v>
      </c>
      <c r="E256" s="305" t="s">
        <v>30</v>
      </c>
      <c r="F256" s="306" t="s">
        <v>162</v>
      </c>
      <c r="G256" s="306" t="s">
        <v>178</v>
      </c>
      <c r="H256" s="295">
        <v>0.01</v>
      </c>
      <c r="I256" s="295">
        <v>0.33</v>
      </c>
      <c r="J256" s="295">
        <v>5.14</v>
      </c>
      <c r="K256" s="298">
        <v>9.34</v>
      </c>
      <c r="L256" s="372"/>
      <c r="M256" s="377" t="str">
        <f t="shared" si="14"/>
        <v>Poitou-CharentesNoyer</v>
      </c>
      <c r="N256" s="377" t="str">
        <f t="shared" si="15"/>
        <v>Poitou-CharentesNoyerAutres</v>
      </c>
      <c r="P256" s="316" t="s">
        <v>30</v>
      </c>
      <c r="Q256" s="317" t="s">
        <v>162</v>
      </c>
      <c r="R256" s="317" t="s">
        <v>178</v>
      </c>
      <c r="S256" s="295"/>
      <c r="T256" s="295"/>
      <c r="U256" s="295"/>
      <c r="V256" s="298"/>
    </row>
    <row r="257" spans="2:22" x14ac:dyDescent="0.25">
      <c r="B257" s="371" t="str">
        <f t="shared" si="12"/>
        <v>Poitou-CharentesPêcher</v>
      </c>
      <c r="C257" s="371" t="str">
        <f t="shared" si="13"/>
        <v>Poitou-CharentesPêcherNectarinier-Pêcher</v>
      </c>
      <c r="E257" s="305" t="s">
        <v>30</v>
      </c>
      <c r="F257" s="306" t="s">
        <v>166</v>
      </c>
      <c r="G257" s="306" t="s">
        <v>647</v>
      </c>
      <c r="H257" s="295">
        <v>0.03</v>
      </c>
      <c r="I257" s="295">
        <v>0.84</v>
      </c>
      <c r="J257" s="295">
        <v>9.25</v>
      </c>
      <c r="K257" s="298">
        <v>19.38</v>
      </c>
      <c r="L257" s="372"/>
      <c r="M257" s="377" t="str">
        <f t="shared" si="14"/>
        <v>Poitou-CharentesPêcher</v>
      </c>
      <c r="N257" s="377" t="str">
        <f t="shared" si="15"/>
        <v>Poitou-CharentesPêcherNectarinier-Pêcher</v>
      </c>
      <c r="P257" s="316" t="s">
        <v>30</v>
      </c>
      <c r="Q257" s="317" t="s">
        <v>166</v>
      </c>
      <c r="R257" s="317" t="s">
        <v>647</v>
      </c>
      <c r="S257" s="295"/>
      <c r="T257" s="295"/>
      <c r="U257" s="295"/>
      <c r="V257" s="298"/>
    </row>
    <row r="258" spans="2:22" x14ac:dyDescent="0.25">
      <c r="B258" s="371" t="str">
        <f t="shared" si="12"/>
        <v>Poitou-CharentesPoirier</v>
      </c>
      <c r="C258" s="371" t="str">
        <f t="shared" si="13"/>
        <v>Poitou-CharentesPoirierAutres</v>
      </c>
      <c r="E258" s="305" t="s">
        <v>30</v>
      </c>
      <c r="F258" s="306" t="s">
        <v>167</v>
      </c>
      <c r="G258" s="306" t="s">
        <v>178</v>
      </c>
      <c r="H258" s="295">
        <v>0.01</v>
      </c>
      <c r="I258" s="295">
        <v>0.33</v>
      </c>
      <c r="J258" s="295">
        <v>5.14</v>
      </c>
      <c r="K258" s="298">
        <v>9.34</v>
      </c>
      <c r="L258" s="372"/>
      <c r="M258" s="377" t="str">
        <f t="shared" si="14"/>
        <v>Poitou-CharentesPoirier</v>
      </c>
      <c r="N258" s="377" t="str">
        <f t="shared" si="15"/>
        <v>Poitou-CharentesPoirierAutres</v>
      </c>
      <c r="P258" s="316" t="s">
        <v>30</v>
      </c>
      <c r="Q258" s="317" t="s">
        <v>167</v>
      </c>
      <c r="R258" s="317" t="s">
        <v>178</v>
      </c>
      <c r="S258" s="295"/>
      <c r="T258" s="295"/>
      <c r="U258" s="295"/>
      <c r="V258" s="298"/>
    </row>
    <row r="259" spans="2:22" x14ac:dyDescent="0.25">
      <c r="B259" s="371" t="str">
        <f t="shared" si="12"/>
        <v>Poitou-CharentesPommier</v>
      </c>
      <c r="C259" s="371" t="str">
        <f t="shared" si="13"/>
        <v>Poitou-CharentesPommierPommier</v>
      </c>
      <c r="E259" s="305" t="s">
        <v>30</v>
      </c>
      <c r="F259" s="306" t="s">
        <v>169</v>
      </c>
      <c r="G259" s="306" t="s">
        <v>169</v>
      </c>
      <c r="H259" s="295">
        <v>0.12</v>
      </c>
      <c r="I259" s="295">
        <v>0.91</v>
      </c>
      <c r="J259" s="295">
        <v>29.73</v>
      </c>
      <c r="K259" s="298">
        <v>40.08</v>
      </c>
      <c r="L259" s="372"/>
      <c r="M259" s="377" t="str">
        <f t="shared" si="14"/>
        <v>Poitou-CharentesPommier</v>
      </c>
      <c r="N259" s="377" t="str">
        <f t="shared" si="15"/>
        <v>Poitou-CharentesPommierPommier</v>
      </c>
      <c r="P259" s="316" t="s">
        <v>30</v>
      </c>
      <c r="Q259" s="317" t="s">
        <v>169</v>
      </c>
      <c r="R259" s="317" t="s">
        <v>169</v>
      </c>
      <c r="S259" s="295"/>
      <c r="T259" s="295"/>
      <c r="U259" s="295"/>
      <c r="V259" s="298"/>
    </row>
    <row r="260" spans="2:22" ht="15.75" thickBot="1" x14ac:dyDescent="0.3">
      <c r="B260" s="371" t="str">
        <f t="shared" si="12"/>
        <v>Poitou-CharentesPrunier</v>
      </c>
      <c r="C260" s="371" t="str">
        <f t="shared" si="13"/>
        <v>Poitou-CharentesPrunierAutres</v>
      </c>
      <c r="E260" s="307" t="s">
        <v>30</v>
      </c>
      <c r="F260" s="308" t="s">
        <v>170</v>
      </c>
      <c r="G260" s="308" t="s">
        <v>178</v>
      </c>
      <c r="H260" s="297">
        <v>0.01</v>
      </c>
      <c r="I260" s="297">
        <v>0.33</v>
      </c>
      <c r="J260" s="297">
        <v>5.14</v>
      </c>
      <c r="K260" s="299">
        <v>9.34</v>
      </c>
      <c r="L260" s="372"/>
      <c r="M260" s="377" t="str">
        <f t="shared" si="14"/>
        <v>Poitou-CharentesPrunier</v>
      </c>
      <c r="N260" s="377" t="str">
        <f t="shared" si="15"/>
        <v>Poitou-CharentesPrunierAutres</v>
      </c>
      <c r="P260" s="318" t="s">
        <v>30</v>
      </c>
      <c r="Q260" s="319" t="s">
        <v>170</v>
      </c>
      <c r="R260" s="319" t="s">
        <v>178</v>
      </c>
      <c r="S260" s="297"/>
      <c r="T260" s="297"/>
      <c r="U260" s="297"/>
      <c r="V260" s="299"/>
    </row>
    <row r="261" spans="2:22" ht="15.75" thickTop="1" x14ac:dyDescent="0.25">
      <c r="B261" s="371" t="str">
        <f t="shared" si="12"/>
        <v>Provence-Alpes-Côte d'AzurAbricotier</v>
      </c>
      <c r="C261" s="371" t="str">
        <f t="shared" si="13"/>
        <v>Provence-Alpes-Côte d'AzurAbricotierAbricotier</v>
      </c>
      <c r="E261" s="566" t="s">
        <v>31</v>
      </c>
      <c r="F261" s="306" t="s">
        <v>135</v>
      </c>
      <c r="G261" s="306" t="s">
        <v>135</v>
      </c>
      <c r="H261" s="295">
        <v>0</v>
      </c>
      <c r="I261" s="295">
        <v>0.27</v>
      </c>
      <c r="J261" s="295">
        <v>5.47</v>
      </c>
      <c r="K261" s="298">
        <v>10.54</v>
      </c>
      <c r="L261" s="372"/>
      <c r="M261" s="377" t="str">
        <f t="shared" si="14"/>
        <v>Provence-Alpes-Côte d'AzurAbricotier</v>
      </c>
      <c r="N261" s="377" t="str">
        <f t="shared" si="15"/>
        <v>Provence-Alpes-Côte d'AzurAbricotierAbricotier</v>
      </c>
      <c r="P261" s="316" t="s">
        <v>31</v>
      </c>
      <c r="Q261" s="317" t="s">
        <v>135</v>
      </c>
      <c r="R261" s="317" t="s">
        <v>135</v>
      </c>
      <c r="S261" s="295"/>
      <c r="T261" s="295"/>
      <c r="U261" s="295"/>
      <c r="V261" s="298"/>
    </row>
    <row r="262" spans="2:22" x14ac:dyDescent="0.25">
      <c r="B262" s="371" t="str">
        <f t="shared" ref="B262:B282" si="16">E262&amp;F262</f>
        <v>Provence-Alpes-Côte d'AzurAgrumes</v>
      </c>
      <c r="C262" s="371" t="str">
        <f t="shared" ref="C262:C282" si="17">E262&amp;F262&amp;G262</f>
        <v>Provence-Alpes-Côte d'AzurAgrumesClémentinier</v>
      </c>
      <c r="E262" s="305" t="s">
        <v>31</v>
      </c>
      <c r="F262" s="306" t="s">
        <v>646</v>
      </c>
      <c r="G262" s="306" t="s">
        <v>143</v>
      </c>
      <c r="H262" s="295">
        <v>0</v>
      </c>
      <c r="I262" s="295">
        <v>0.3</v>
      </c>
      <c r="J262" s="295">
        <v>2</v>
      </c>
      <c r="K262" s="298">
        <v>5</v>
      </c>
      <c r="L262" s="372"/>
      <c r="M262" s="377" t="str">
        <f t="shared" ref="M262:M282" si="18">P262&amp;Q262</f>
        <v>Provence-Alpes-Côte d'AzurAgrumes</v>
      </c>
      <c r="N262" s="377" t="str">
        <f t="shared" ref="N262:N282" si="19">P262&amp;Q262&amp;R262</f>
        <v>Provence-Alpes-Côte d'AzurAgrumesClémentinier</v>
      </c>
      <c r="P262" s="316" t="s">
        <v>31</v>
      </c>
      <c r="Q262" s="317" t="s">
        <v>646</v>
      </c>
      <c r="R262" s="317" t="s">
        <v>143</v>
      </c>
      <c r="S262" s="295"/>
      <c r="T262" s="295"/>
      <c r="U262" s="295"/>
      <c r="V262" s="298"/>
    </row>
    <row r="263" spans="2:22" x14ac:dyDescent="0.25">
      <c r="B263" s="371" t="str">
        <f t="shared" si="16"/>
        <v>Provence-Alpes-Côte d'AzurAutres</v>
      </c>
      <c r="C263" s="371" t="str">
        <f t="shared" si="17"/>
        <v>Provence-Alpes-Côte d'AzurAutresPrunier</v>
      </c>
      <c r="E263" s="305" t="s">
        <v>31</v>
      </c>
      <c r="F263" s="306" t="s">
        <v>178</v>
      </c>
      <c r="G263" s="306" t="s">
        <v>170</v>
      </c>
      <c r="H263" s="295">
        <v>0</v>
      </c>
      <c r="I263" s="295">
        <v>0.27</v>
      </c>
      <c r="J263" s="295">
        <v>4.9400000000000004</v>
      </c>
      <c r="K263" s="298">
        <v>9.81</v>
      </c>
      <c r="L263" s="372"/>
      <c r="M263" s="377" t="str">
        <f t="shared" si="18"/>
        <v>Provence-Alpes-Côte d'AzurAutres</v>
      </c>
      <c r="N263" s="377" t="str">
        <f t="shared" si="19"/>
        <v>Provence-Alpes-Côte d'AzurAutresPrunier</v>
      </c>
      <c r="P263" s="316" t="s">
        <v>31</v>
      </c>
      <c r="Q263" s="317" t="s">
        <v>178</v>
      </c>
      <c r="R263" s="317" t="s">
        <v>170</v>
      </c>
      <c r="S263" s="295"/>
      <c r="T263" s="295"/>
      <c r="U263" s="295"/>
      <c r="V263" s="298"/>
    </row>
    <row r="264" spans="2:22" x14ac:dyDescent="0.25">
      <c r="B264" s="371" t="str">
        <f t="shared" si="16"/>
        <v>Provence-Alpes-Côte d'AzurCerisier</v>
      </c>
      <c r="C264" s="371" t="str">
        <f t="shared" si="17"/>
        <v>Provence-Alpes-Côte d'AzurCerisierCerisier</v>
      </c>
      <c r="E264" s="305" t="s">
        <v>31</v>
      </c>
      <c r="F264" s="306" t="s">
        <v>140</v>
      </c>
      <c r="G264" s="306" t="s">
        <v>140</v>
      </c>
      <c r="H264" s="295">
        <v>0</v>
      </c>
      <c r="I264" s="295">
        <v>0.16</v>
      </c>
      <c r="J264" s="295">
        <v>3.77</v>
      </c>
      <c r="K264" s="298">
        <v>7.07</v>
      </c>
      <c r="L264" s="372"/>
      <c r="M264" s="377" t="str">
        <f t="shared" si="18"/>
        <v>Provence-Alpes-Côte d'AzurCerisier</v>
      </c>
      <c r="N264" s="377" t="str">
        <f t="shared" si="19"/>
        <v>Provence-Alpes-Côte d'AzurCerisierCerisier</v>
      </c>
      <c r="P264" s="316" t="s">
        <v>31</v>
      </c>
      <c r="Q264" s="317" t="s">
        <v>140</v>
      </c>
      <c r="R264" s="317" t="s">
        <v>140</v>
      </c>
      <c r="S264" s="295"/>
      <c r="T264" s="295"/>
      <c r="U264" s="295"/>
      <c r="V264" s="298"/>
    </row>
    <row r="265" spans="2:22" x14ac:dyDescent="0.25">
      <c r="B265" s="371" t="str">
        <f t="shared" si="16"/>
        <v>Provence-Alpes-Côte d'AzurMirabellier</v>
      </c>
      <c r="C265" s="371" t="str">
        <f t="shared" si="17"/>
        <v>Provence-Alpes-Côte d'AzurMirabellierAutres</v>
      </c>
      <c r="E265" s="305" t="s">
        <v>31</v>
      </c>
      <c r="F265" s="306" t="s">
        <v>153</v>
      </c>
      <c r="G265" s="306" t="s">
        <v>178</v>
      </c>
      <c r="H265" s="295">
        <v>0</v>
      </c>
      <c r="I265" s="295">
        <v>0.27</v>
      </c>
      <c r="J265" s="295">
        <v>4.9400000000000004</v>
      </c>
      <c r="K265" s="298">
        <v>9.81</v>
      </c>
      <c r="L265" s="372"/>
      <c r="M265" s="377" t="str">
        <f t="shared" si="18"/>
        <v>Provence-Alpes-Côte d'AzurMirabellier</v>
      </c>
      <c r="N265" s="377" t="str">
        <f t="shared" si="19"/>
        <v>Provence-Alpes-Côte d'AzurMirabellierAutres</v>
      </c>
      <c r="P265" s="316" t="s">
        <v>31</v>
      </c>
      <c r="Q265" s="317" t="s">
        <v>153</v>
      </c>
      <c r="R265" s="317" t="s">
        <v>178</v>
      </c>
      <c r="S265" s="295"/>
      <c r="T265" s="295"/>
      <c r="U265" s="295"/>
      <c r="V265" s="298"/>
    </row>
    <row r="266" spans="2:22" x14ac:dyDescent="0.25">
      <c r="B266" s="371" t="str">
        <f t="shared" si="16"/>
        <v>Provence-Alpes-Côte d'AzurNectarinier</v>
      </c>
      <c r="C266" s="371" t="str">
        <f t="shared" si="17"/>
        <v>Provence-Alpes-Côte d'AzurNectarinierNectarinier-Pêcher</v>
      </c>
      <c r="E266" s="305" t="s">
        <v>31</v>
      </c>
      <c r="F266" s="306" t="s">
        <v>159</v>
      </c>
      <c r="G266" s="306" t="s">
        <v>647</v>
      </c>
      <c r="H266" s="295">
        <v>0.13</v>
      </c>
      <c r="I266" s="295">
        <v>0.73</v>
      </c>
      <c r="J266" s="295">
        <v>14.32</v>
      </c>
      <c r="K266" s="298">
        <v>21.06</v>
      </c>
      <c r="L266" s="372"/>
      <c r="M266" s="377" t="str">
        <f t="shared" si="18"/>
        <v>Provence-Alpes-Côte d'AzurNectarinier</v>
      </c>
      <c r="N266" s="377" t="str">
        <f t="shared" si="19"/>
        <v>Provence-Alpes-Côte d'AzurNectarinierNectarinier-Pêcher</v>
      </c>
      <c r="P266" s="316" t="s">
        <v>31</v>
      </c>
      <c r="Q266" s="317" t="s">
        <v>159</v>
      </c>
      <c r="R266" s="317" t="s">
        <v>647</v>
      </c>
      <c r="S266" s="295"/>
      <c r="T266" s="295"/>
      <c r="U266" s="295"/>
      <c r="V266" s="298"/>
    </row>
    <row r="267" spans="2:22" x14ac:dyDescent="0.25">
      <c r="B267" s="371" t="str">
        <f t="shared" si="16"/>
        <v>Provence-Alpes-Côte d'AzurNoyer</v>
      </c>
      <c r="C267" s="371" t="str">
        <f t="shared" si="17"/>
        <v>Provence-Alpes-Côte d'AzurNoyerAutres</v>
      </c>
      <c r="E267" s="305" t="s">
        <v>31</v>
      </c>
      <c r="F267" s="306" t="s">
        <v>162</v>
      </c>
      <c r="G267" s="306" t="s">
        <v>178</v>
      </c>
      <c r="H267" s="295">
        <v>0</v>
      </c>
      <c r="I267" s="295">
        <v>0.27</v>
      </c>
      <c r="J267" s="295">
        <v>4.9400000000000004</v>
      </c>
      <c r="K267" s="298">
        <v>9.81</v>
      </c>
      <c r="L267" s="372"/>
      <c r="M267" s="377" t="str">
        <f t="shared" si="18"/>
        <v>Provence-Alpes-Côte d'AzurNoyer</v>
      </c>
      <c r="N267" s="377" t="str">
        <f t="shared" si="19"/>
        <v>Provence-Alpes-Côte d'AzurNoyerAutres</v>
      </c>
      <c r="P267" s="316" t="s">
        <v>31</v>
      </c>
      <c r="Q267" s="317" t="s">
        <v>162</v>
      </c>
      <c r="R267" s="317" t="s">
        <v>178</v>
      </c>
      <c r="S267" s="295"/>
      <c r="T267" s="295"/>
      <c r="U267" s="295"/>
      <c r="V267" s="298"/>
    </row>
    <row r="268" spans="2:22" x14ac:dyDescent="0.25">
      <c r="B268" s="371" t="str">
        <f t="shared" si="16"/>
        <v>Provence-Alpes-Côte d'AzurPêcher</v>
      </c>
      <c r="C268" s="371" t="str">
        <f t="shared" si="17"/>
        <v>Provence-Alpes-Côte d'AzurPêcherNectarinier-Pêcher</v>
      </c>
      <c r="E268" s="305" t="s">
        <v>31</v>
      </c>
      <c r="F268" s="306" t="s">
        <v>166</v>
      </c>
      <c r="G268" s="306" t="s">
        <v>647</v>
      </c>
      <c r="H268" s="295">
        <v>0.13</v>
      </c>
      <c r="I268" s="295">
        <v>0.73</v>
      </c>
      <c r="J268" s="295">
        <v>14.32</v>
      </c>
      <c r="K268" s="298">
        <v>21.06</v>
      </c>
      <c r="L268" s="372"/>
      <c r="M268" s="377" t="str">
        <f t="shared" si="18"/>
        <v>Provence-Alpes-Côte d'AzurPêcher</v>
      </c>
      <c r="N268" s="377" t="str">
        <f t="shared" si="19"/>
        <v>Provence-Alpes-Côte d'AzurPêcherNectarinier-Pêcher</v>
      </c>
      <c r="P268" s="316" t="s">
        <v>31</v>
      </c>
      <c r="Q268" s="317" t="s">
        <v>166</v>
      </c>
      <c r="R268" s="317" t="s">
        <v>647</v>
      </c>
      <c r="S268" s="295"/>
      <c r="T268" s="295"/>
      <c r="U268" s="295"/>
      <c r="V268" s="298"/>
    </row>
    <row r="269" spans="2:22" x14ac:dyDescent="0.25">
      <c r="B269" s="371" t="str">
        <f t="shared" si="16"/>
        <v>Provence-Alpes-Côte d'AzurPoirier</v>
      </c>
      <c r="C269" s="371" t="str">
        <f t="shared" si="17"/>
        <v>Provence-Alpes-Côte d'AzurPoirierAutres</v>
      </c>
      <c r="E269" s="305" t="s">
        <v>31</v>
      </c>
      <c r="F269" s="306" t="s">
        <v>167</v>
      </c>
      <c r="G269" s="306" t="s">
        <v>178</v>
      </c>
      <c r="H269" s="295">
        <v>0</v>
      </c>
      <c r="I269" s="295">
        <v>0.27</v>
      </c>
      <c r="J269" s="295">
        <v>4.9400000000000004</v>
      </c>
      <c r="K269" s="298">
        <v>9.81</v>
      </c>
      <c r="L269" s="372"/>
      <c r="M269" s="377" t="str">
        <f t="shared" si="18"/>
        <v>Provence-Alpes-Côte d'AzurPoirier</v>
      </c>
      <c r="N269" s="377" t="str">
        <f t="shared" si="19"/>
        <v>Provence-Alpes-Côte d'AzurPoirierAutres</v>
      </c>
      <c r="P269" s="316" t="s">
        <v>31</v>
      </c>
      <c r="Q269" s="317" t="s">
        <v>167</v>
      </c>
      <c r="R269" s="317" t="s">
        <v>178</v>
      </c>
      <c r="S269" s="295"/>
      <c r="T269" s="295"/>
      <c r="U269" s="295"/>
      <c r="V269" s="298"/>
    </row>
    <row r="270" spans="2:22" x14ac:dyDescent="0.25">
      <c r="B270" s="371" t="str">
        <f t="shared" si="16"/>
        <v>Provence-Alpes-Côte d'AzurPommier</v>
      </c>
      <c r="C270" s="371" t="str">
        <f t="shared" si="17"/>
        <v>Provence-Alpes-Côte d'AzurPommierPommier</v>
      </c>
      <c r="E270" s="305" t="s">
        <v>31</v>
      </c>
      <c r="F270" s="306" t="s">
        <v>169</v>
      </c>
      <c r="G270" s="306" t="s">
        <v>169</v>
      </c>
      <c r="H270" s="295">
        <v>0</v>
      </c>
      <c r="I270" s="295">
        <v>0.31</v>
      </c>
      <c r="J270" s="295">
        <v>15.05</v>
      </c>
      <c r="K270" s="298">
        <v>25.75</v>
      </c>
      <c r="L270" s="372"/>
      <c r="M270" s="377" t="str">
        <f t="shared" si="18"/>
        <v>Provence-Alpes-Côte d'AzurPommier</v>
      </c>
      <c r="N270" s="377" t="str">
        <f t="shared" si="19"/>
        <v>Provence-Alpes-Côte d'AzurPommierPommier</v>
      </c>
      <c r="P270" s="316" t="s">
        <v>31</v>
      </c>
      <c r="Q270" s="317" t="s">
        <v>169</v>
      </c>
      <c r="R270" s="317" t="s">
        <v>169</v>
      </c>
      <c r="S270" s="295"/>
      <c r="T270" s="295"/>
      <c r="U270" s="295"/>
      <c r="V270" s="298"/>
    </row>
    <row r="271" spans="2:22" ht="15.75" thickBot="1" x14ac:dyDescent="0.3">
      <c r="B271" s="371" t="str">
        <f t="shared" si="16"/>
        <v>Provence-Alpes-Côte d'AzurPrunier</v>
      </c>
      <c r="C271" s="371" t="str">
        <f t="shared" si="17"/>
        <v>Provence-Alpes-Côte d'AzurPrunierPrunier</v>
      </c>
      <c r="E271" s="307" t="s">
        <v>31</v>
      </c>
      <c r="F271" s="308" t="s">
        <v>170</v>
      </c>
      <c r="G271" s="308" t="s">
        <v>170</v>
      </c>
      <c r="H271" s="297">
        <v>0</v>
      </c>
      <c r="I271" s="297">
        <v>0.27</v>
      </c>
      <c r="J271" s="297">
        <v>4.9400000000000004</v>
      </c>
      <c r="K271" s="299">
        <v>9.81</v>
      </c>
      <c r="L271" s="372"/>
      <c r="M271" s="377" t="str">
        <f t="shared" si="18"/>
        <v>Provence-Alpes-Côte d'AzurPrunier</v>
      </c>
      <c r="N271" s="377" t="str">
        <f t="shared" si="19"/>
        <v>Provence-Alpes-Côte d'AzurPrunierPrunier</v>
      </c>
      <c r="P271" s="318" t="s">
        <v>31</v>
      </c>
      <c r="Q271" s="319" t="s">
        <v>170</v>
      </c>
      <c r="R271" s="319" t="s">
        <v>170</v>
      </c>
      <c r="S271" s="297"/>
      <c r="T271" s="297"/>
      <c r="U271" s="297"/>
      <c r="V271" s="299"/>
    </row>
    <row r="272" spans="2:22" ht="15.75" thickTop="1" x14ac:dyDescent="0.25">
      <c r="B272" s="371" t="str">
        <f t="shared" si="16"/>
        <v>Rhône-AlpesAbricotier</v>
      </c>
      <c r="C272" s="371" t="str">
        <f t="shared" si="17"/>
        <v>Rhône-AlpesAbricotierAbricotier</v>
      </c>
      <c r="E272" s="305" t="s">
        <v>32</v>
      </c>
      <c r="F272" s="306" t="s">
        <v>135</v>
      </c>
      <c r="G272" s="306" t="s">
        <v>135</v>
      </c>
      <c r="H272" s="295">
        <v>0.13</v>
      </c>
      <c r="I272" s="295">
        <v>0.88</v>
      </c>
      <c r="J272" s="295">
        <v>6.19</v>
      </c>
      <c r="K272" s="298">
        <v>11.56</v>
      </c>
      <c r="L272" s="372"/>
      <c r="M272" s="377" t="str">
        <f t="shared" si="18"/>
        <v>Rhône-AlpesAbricotier</v>
      </c>
      <c r="N272" s="377" t="str">
        <f t="shared" si="19"/>
        <v>Rhône-AlpesAbricotierAbricotier</v>
      </c>
      <c r="P272" s="316" t="s">
        <v>32</v>
      </c>
      <c r="Q272" s="317" t="s">
        <v>135</v>
      </c>
      <c r="R272" s="317" t="s">
        <v>135</v>
      </c>
      <c r="S272" s="295"/>
      <c r="T272" s="295"/>
      <c r="U272" s="295"/>
      <c r="V272" s="298"/>
    </row>
    <row r="273" spans="2:22" x14ac:dyDescent="0.25">
      <c r="B273" s="371" t="str">
        <f t="shared" si="16"/>
        <v>Rhône-AlpesAgrumes</v>
      </c>
      <c r="C273" s="371" t="str">
        <f t="shared" si="17"/>
        <v>Rhône-AlpesAgrumesClémentinier</v>
      </c>
      <c r="E273" s="305" t="s">
        <v>32</v>
      </c>
      <c r="F273" s="306" t="s">
        <v>646</v>
      </c>
      <c r="G273" s="306" t="s">
        <v>143</v>
      </c>
      <c r="H273" s="295">
        <v>0</v>
      </c>
      <c r="I273" s="295">
        <v>0.3</v>
      </c>
      <c r="J273" s="295">
        <v>2</v>
      </c>
      <c r="K273" s="298">
        <v>5</v>
      </c>
      <c r="L273" s="372"/>
      <c r="M273" s="377" t="str">
        <f t="shared" si="18"/>
        <v>Rhône-AlpesAgrumes</v>
      </c>
      <c r="N273" s="377" t="str">
        <f t="shared" si="19"/>
        <v>Rhône-AlpesAgrumesClémentinier</v>
      </c>
      <c r="P273" s="316" t="s">
        <v>32</v>
      </c>
      <c r="Q273" s="317" t="s">
        <v>646</v>
      </c>
      <c r="R273" s="317" t="s">
        <v>143</v>
      </c>
      <c r="S273" s="295"/>
      <c r="T273" s="295"/>
      <c r="U273" s="295"/>
      <c r="V273" s="298"/>
    </row>
    <row r="274" spans="2:22" x14ac:dyDescent="0.25">
      <c r="B274" s="371" t="str">
        <f t="shared" si="16"/>
        <v>Rhône-AlpesAutres</v>
      </c>
      <c r="C274" s="371" t="str">
        <f t="shared" si="17"/>
        <v>Rhône-AlpesAutresPrunier</v>
      </c>
      <c r="E274" s="305" t="s">
        <v>32</v>
      </c>
      <c r="F274" s="306" t="s">
        <v>178</v>
      </c>
      <c r="G274" s="306" t="s">
        <v>170</v>
      </c>
      <c r="H274" s="295">
        <v>0.02</v>
      </c>
      <c r="I274" s="295">
        <v>0.52</v>
      </c>
      <c r="J274" s="295">
        <v>4.6399999999999997</v>
      </c>
      <c r="K274" s="298">
        <v>8.34</v>
      </c>
      <c r="L274" s="372"/>
      <c r="M274" s="377" t="str">
        <f t="shared" si="18"/>
        <v>Rhône-AlpesAutres</v>
      </c>
      <c r="N274" s="377" t="str">
        <f t="shared" si="19"/>
        <v>Rhône-AlpesAutresPrunier</v>
      </c>
      <c r="P274" s="316" t="s">
        <v>32</v>
      </c>
      <c r="Q274" s="317" t="s">
        <v>178</v>
      </c>
      <c r="R274" s="317" t="s">
        <v>170</v>
      </c>
      <c r="S274" s="295"/>
      <c r="T274" s="295"/>
      <c r="U274" s="295"/>
      <c r="V274" s="298"/>
    </row>
    <row r="275" spans="2:22" x14ac:dyDescent="0.25">
      <c r="B275" s="371" t="str">
        <f t="shared" si="16"/>
        <v>Rhône-AlpesCerisier</v>
      </c>
      <c r="C275" s="371" t="str">
        <f t="shared" si="17"/>
        <v>Rhône-AlpesCerisierCerisier</v>
      </c>
      <c r="E275" s="305" t="s">
        <v>32</v>
      </c>
      <c r="F275" s="306" t="s">
        <v>140</v>
      </c>
      <c r="G275" s="306" t="s">
        <v>140</v>
      </c>
      <c r="H275" s="295">
        <v>0.04</v>
      </c>
      <c r="I275" s="295">
        <v>0.62</v>
      </c>
      <c r="J275" s="295">
        <v>4.68</v>
      </c>
      <c r="K275" s="298">
        <v>8.69</v>
      </c>
      <c r="L275" s="372"/>
      <c r="M275" s="377" t="str">
        <f t="shared" si="18"/>
        <v>Rhône-AlpesCerisier</v>
      </c>
      <c r="N275" s="377" t="str">
        <f t="shared" si="19"/>
        <v>Rhône-AlpesCerisierCerisier</v>
      </c>
      <c r="P275" s="316" t="s">
        <v>32</v>
      </c>
      <c r="Q275" s="317" t="s">
        <v>140</v>
      </c>
      <c r="R275" s="317" t="s">
        <v>140</v>
      </c>
      <c r="S275" s="295"/>
      <c r="T275" s="295"/>
      <c r="U275" s="295"/>
      <c r="V275" s="298"/>
    </row>
    <row r="276" spans="2:22" x14ac:dyDescent="0.25">
      <c r="B276" s="371" t="str">
        <f t="shared" si="16"/>
        <v>Rhône-AlpesMirabellier</v>
      </c>
      <c r="C276" s="371" t="str">
        <f t="shared" si="17"/>
        <v>Rhône-AlpesMirabellierAutres</v>
      </c>
      <c r="E276" s="305" t="s">
        <v>32</v>
      </c>
      <c r="F276" s="306" t="s">
        <v>153</v>
      </c>
      <c r="G276" s="306" t="s">
        <v>178</v>
      </c>
      <c r="H276" s="295">
        <v>0.02</v>
      </c>
      <c r="I276" s="295">
        <v>0.52</v>
      </c>
      <c r="J276" s="295">
        <v>4.6399999999999997</v>
      </c>
      <c r="K276" s="298">
        <v>8.34</v>
      </c>
      <c r="L276" s="372"/>
      <c r="M276" s="377" t="str">
        <f t="shared" si="18"/>
        <v>Rhône-AlpesMirabellier</v>
      </c>
      <c r="N276" s="377" t="str">
        <f t="shared" si="19"/>
        <v>Rhône-AlpesMirabellierAutres</v>
      </c>
      <c r="P276" s="316" t="s">
        <v>32</v>
      </c>
      <c r="Q276" s="317" t="s">
        <v>153</v>
      </c>
      <c r="R276" s="317" t="s">
        <v>178</v>
      </c>
      <c r="S276" s="295"/>
      <c r="T276" s="295"/>
      <c r="U276" s="295"/>
      <c r="V276" s="298"/>
    </row>
    <row r="277" spans="2:22" x14ac:dyDescent="0.25">
      <c r="B277" s="371" t="str">
        <f t="shared" si="16"/>
        <v>Rhône-AlpesNectarinier</v>
      </c>
      <c r="C277" s="371" t="str">
        <f t="shared" si="17"/>
        <v>Rhône-AlpesNectarinierNectarinier-Pêcher</v>
      </c>
      <c r="E277" s="305" t="s">
        <v>32</v>
      </c>
      <c r="F277" s="306" t="s">
        <v>159</v>
      </c>
      <c r="G277" s="306" t="s">
        <v>647</v>
      </c>
      <c r="H277" s="295">
        <v>0.24</v>
      </c>
      <c r="I277" s="295">
        <v>1.1599999999999999</v>
      </c>
      <c r="J277" s="295">
        <v>10.97</v>
      </c>
      <c r="K277" s="298">
        <v>21.59</v>
      </c>
      <c r="L277" s="372"/>
      <c r="M277" s="377" t="str">
        <f t="shared" si="18"/>
        <v>Rhône-AlpesNectarinier</v>
      </c>
      <c r="N277" s="377" t="str">
        <f t="shared" si="19"/>
        <v>Rhône-AlpesNectarinierNectarinier-Pêcher</v>
      </c>
      <c r="P277" s="316" t="s">
        <v>32</v>
      </c>
      <c r="Q277" s="317" t="s">
        <v>159</v>
      </c>
      <c r="R277" s="317" t="s">
        <v>647</v>
      </c>
      <c r="S277" s="295"/>
      <c r="T277" s="295"/>
      <c r="U277" s="295"/>
      <c r="V277" s="298"/>
    </row>
    <row r="278" spans="2:22" x14ac:dyDescent="0.25">
      <c r="B278" s="371" t="str">
        <f t="shared" si="16"/>
        <v>Rhône-AlpesNoyer</v>
      </c>
      <c r="C278" s="371" t="str">
        <f t="shared" si="17"/>
        <v>Rhône-AlpesNoyerAutres</v>
      </c>
      <c r="E278" s="305" t="s">
        <v>32</v>
      </c>
      <c r="F278" s="306" t="s">
        <v>162</v>
      </c>
      <c r="G278" s="306" t="s">
        <v>178</v>
      </c>
      <c r="H278" s="295">
        <v>0.02</v>
      </c>
      <c r="I278" s="295">
        <v>0.52</v>
      </c>
      <c r="J278" s="295">
        <v>4.6399999999999997</v>
      </c>
      <c r="K278" s="298">
        <v>8.34</v>
      </c>
      <c r="L278" s="372"/>
      <c r="M278" s="377" t="str">
        <f t="shared" si="18"/>
        <v>Rhône-AlpesNoyer</v>
      </c>
      <c r="N278" s="377" t="str">
        <f t="shared" si="19"/>
        <v>Rhône-AlpesNoyerAutres</v>
      </c>
      <c r="P278" s="316" t="s">
        <v>32</v>
      </c>
      <c r="Q278" s="317" t="s">
        <v>162</v>
      </c>
      <c r="R278" s="317" t="s">
        <v>178</v>
      </c>
      <c r="S278" s="295"/>
      <c r="T278" s="295"/>
      <c r="U278" s="295"/>
      <c r="V278" s="298"/>
    </row>
    <row r="279" spans="2:22" x14ac:dyDescent="0.25">
      <c r="B279" s="371" t="str">
        <f t="shared" si="16"/>
        <v>Rhône-AlpesPêcher</v>
      </c>
      <c r="C279" s="371" t="str">
        <f t="shared" si="17"/>
        <v>Rhône-AlpesPêcherNectarinier-Pêcher</v>
      </c>
      <c r="E279" s="305" t="s">
        <v>32</v>
      </c>
      <c r="F279" s="306" t="s">
        <v>166</v>
      </c>
      <c r="G279" s="306" t="s">
        <v>647</v>
      </c>
      <c r="H279" s="295">
        <v>0.24</v>
      </c>
      <c r="I279" s="295">
        <v>1.1599999999999999</v>
      </c>
      <c r="J279" s="295">
        <v>10.97</v>
      </c>
      <c r="K279" s="298">
        <v>21.59</v>
      </c>
      <c r="L279" s="372"/>
      <c r="M279" s="377" t="str">
        <f t="shared" si="18"/>
        <v>Rhône-AlpesPêcher</v>
      </c>
      <c r="N279" s="377" t="str">
        <f t="shared" si="19"/>
        <v>Rhône-AlpesPêcherNectarinier-Pêcher</v>
      </c>
      <c r="P279" s="316" t="s">
        <v>32</v>
      </c>
      <c r="Q279" s="317" t="s">
        <v>166</v>
      </c>
      <c r="R279" s="317" t="s">
        <v>647</v>
      </c>
      <c r="S279" s="295"/>
      <c r="T279" s="295"/>
      <c r="U279" s="295"/>
      <c r="V279" s="298"/>
    </row>
    <row r="280" spans="2:22" x14ac:dyDescent="0.25">
      <c r="B280" s="371" t="str">
        <f t="shared" si="16"/>
        <v>Rhône-AlpesPoirier</v>
      </c>
      <c r="C280" s="371" t="str">
        <f t="shared" si="17"/>
        <v>Rhône-AlpesPoirierAutres</v>
      </c>
      <c r="E280" s="305" t="s">
        <v>32</v>
      </c>
      <c r="F280" s="306" t="s">
        <v>167</v>
      </c>
      <c r="G280" s="306" t="s">
        <v>178</v>
      </c>
      <c r="H280" s="295">
        <v>0.02</v>
      </c>
      <c r="I280" s="295">
        <v>0.52</v>
      </c>
      <c r="J280" s="295">
        <v>4.6399999999999997</v>
      </c>
      <c r="K280" s="298">
        <v>8.34</v>
      </c>
      <c r="L280" s="372"/>
      <c r="M280" s="377" t="str">
        <f t="shared" si="18"/>
        <v>Rhône-AlpesPoirier</v>
      </c>
      <c r="N280" s="377" t="str">
        <f t="shared" si="19"/>
        <v>Rhône-AlpesPoirierAutres</v>
      </c>
      <c r="P280" s="316" t="s">
        <v>32</v>
      </c>
      <c r="Q280" s="317" t="s">
        <v>167</v>
      </c>
      <c r="R280" s="317" t="s">
        <v>178</v>
      </c>
      <c r="S280" s="295"/>
      <c r="T280" s="295"/>
      <c r="U280" s="295"/>
      <c r="V280" s="298"/>
    </row>
    <row r="281" spans="2:22" x14ac:dyDescent="0.25">
      <c r="B281" s="371" t="str">
        <f t="shared" si="16"/>
        <v>Rhône-AlpesPommier</v>
      </c>
      <c r="C281" s="371" t="str">
        <f t="shared" si="17"/>
        <v>Rhône-AlpesPommierPommier</v>
      </c>
      <c r="E281" s="305" t="s">
        <v>32</v>
      </c>
      <c r="F281" s="306" t="s">
        <v>169</v>
      </c>
      <c r="G281" s="306" t="s">
        <v>169</v>
      </c>
      <c r="H281" s="295">
        <v>0</v>
      </c>
      <c r="I281" s="295">
        <v>0.53</v>
      </c>
      <c r="J281" s="295">
        <v>12.52</v>
      </c>
      <c r="K281" s="298">
        <v>26.16</v>
      </c>
      <c r="L281" s="372"/>
      <c r="M281" s="377" t="str">
        <f t="shared" si="18"/>
        <v>Rhône-AlpesPommier</v>
      </c>
      <c r="N281" s="377" t="str">
        <f t="shared" si="19"/>
        <v>Rhône-AlpesPommierPommier</v>
      </c>
      <c r="P281" s="316" t="s">
        <v>32</v>
      </c>
      <c r="Q281" s="317" t="s">
        <v>169</v>
      </c>
      <c r="R281" s="317" t="s">
        <v>169</v>
      </c>
      <c r="S281" s="295"/>
      <c r="T281" s="295"/>
      <c r="U281" s="295"/>
      <c r="V281" s="298"/>
    </row>
    <row r="282" spans="2:22" ht="15.75" thickBot="1" x14ac:dyDescent="0.3">
      <c r="B282" s="371" t="str">
        <f t="shared" si="16"/>
        <v>Rhône-AlpesPrunier</v>
      </c>
      <c r="C282" s="371" t="str">
        <f t="shared" si="17"/>
        <v>Rhône-AlpesPrunierPrunier</v>
      </c>
      <c r="E282" s="309" t="s">
        <v>32</v>
      </c>
      <c r="F282" s="310" t="s">
        <v>170</v>
      </c>
      <c r="G282" s="310" t="s">
        <v>170</v>
      </c>
      <c r="H282" s="301">
        <v>0.02</v>
      </c>
      <c r="I282" s="301">
        <v>0.52</v>
      </c>
      <c r="J282" s="301">
        <v>4.6399999999999997</v>
      </c>
      <c r="K282" s="302">
        <v>8.34</v>
      </c>
      <c r="L282" s="372"/>
      <c r="M282" s="377" t="str">
        <f t="shared" si="18"/>
        <v>Rhône-AlpesPrunier</v>
      </c>
      <c r="N282" s="377" t="str">
        <f t="shared" si="19"/>
        <v>Rhône-AlpesPrunierPrunier</v>
      </c>
      <c r="P282" s="320" t="s">
        <v>32</v>
      </c>
      <c r="Q282" s="321" t="s">
        <v>170</v>
      </c>
      <c r="R282" s="321" t="s">
        <v>170</v>
      </c>
      <c r="S282" s="301"/>
      <c r="T282" s="301"/>
      <c r="U282" s="301"/>
      <c r="V282" s="302"/>
    </row>
    <row r="284" spans="2:22" x14ac:dyDescent="0.25">
      <c r="E284" s="1124" t="s">
        <v>2629</v>
      </c>
      <c r="F284" s="1125"/>
      <c r="G284" s="1125"/>
      <c r="H284" s="1125"/>
      <c r="I284" s="1125"/>
      <c r="J284" s="1125"/>
      <c r="K284" s="1126"/>
      <c r="P284" s="1124" t="s">
        <v>2611</v>
      </c>
      <c r="Q284" s="1125"/>
      <c r="R284" s="1125"/>
      <c r="S284" s="1125"/>
      <c r="T284" s="1125"/>
      <c r="U284" s="1125"/>
      <c r="V284" s="1126"/>
    </row>
    <row r="285" spans="2:22" x14ac:dyDescent="0.25">
      <c r="E285" s="1124"/>
      <c r="F285" s="1125"/>
      <c r="G285" s="1125"/>
      <c r="H285" s="1125"/>
      <c r="I285" s="1125"/>
      <c r="J285" s="1125"/>
      <c r="K285" s="1126"/>
      <c r="P285" s="1124"/>
      <c r="Q285" s="1125"/>
      <c r="R285" s="1125"/>
      <c r="S285" s="1125"/>
      <c r="T285" s="1125"/>
      <c r="U285" s="1125"/>
      <c r="V285" s="1126"/>
    </row>
    <row r="286" spans="2:22" x14ac:dyDescent="0.25">
      <c r="E286" s="1124"/>
      <c r="F286" s="1125"/>
      <c r="G286" s="1125"/>
      <c r="H286" s="1125"/>
      <c r="I286" s="1125"/>
      <c r="J286" s="1125"/>
      <c r="K286" s="1126"/>
      <c r="P286" s="1124"/>
      <c r="Q286" s="1125"/>
      <c r="R286" s="1125"/>
      <c r="S286" s="1125"/>
      <c r="T286" s="1125"/>
      <c r="U286" s="1125"/>
      <c r="V286" s="1126"/>
    </row>
    <row r="287" spans="2:22" ht="15" customHeight="1" x14ac:dyDescent="0.25">
      <c r="E287" s="1124" t="s">
        <v>2630</v>
      </c>
      <c r="F287" s="1125"/>
      <c r="G287" s="1125"/>
      <c r="H287" s="1125"/>
      <c r="I287" s="1125"/>
      <c r="J287" s="1125"/>
      <c r="K287" s="1126"/>
      <c r="P287" s="1124"/>
      <c r="Q287" s="1125"/>
      <c r="R287" s="1125"/>
      <c r="S287" s="1125"/>
      <c r="T287" s="1125"/>
      <c r="U287" s="1125"/>
      <c r="V287" s="1126"/>
    </row>
    <row r="288" spans="2:22" x14ac:dyDescent="0.25">
      <c r="E288" s="1124"/>
      <c r="F288" s="1125"/>
      <c r="G288" s="1125"/>
      <c r="H288" s="1125"/>
      <c r="I288" s="1125"/>
      <c r="J288" s="1125"/>
      <c r="K288" s="1126"/>
      <c r="P288" s="1124"/>
      <c r="Q288" s="1125"/>
      <c r="R288" s="1125"/>
      <c r="S288" s="1125"/>
      <c r="T288" s="1125"/>
      <c r="U288" s="1125"/>
      <c r="V288" s="1126"/>
    </row>
    <row r="289" spans="5:22" x14ac:dyDescent="0.25">
      <c r="E289" s="1124"/>
      <c r="F289" s="1125"/>
      <c r="G289" s="1125"/>
      <c r="H289" s="1125"/>
      <c r="I289" s="1125"/>
      <c r="J289" s="1125"/>
      <c r="K289" s="1126"/>
      <c r="P289" s="1124"/>
      <c r="Q289" s="1125"/>
      <c r="R289" s="1125"/>
      <c r="S289" s="1125"/>
      <c r="T289" s="1125"/>
      <c r="U289" s="1125"/>
      <c r="V289" s="1126"/>
    </row>
    <row r="290" spans="5:22" x14ac:dyDescent="0.25">
      <c r="E290" s="1124"/>
      <c r="F290" s="1125"/>
      <c r="G290" s="1125"/>
      <c r="H290" s="1125"/>
      <c r="I290" s="1125"/>
      <c r="J290" s="1125"/>
      <c r="K290" s="1126"/>
      <c r="P290" s="1124"/>
      <c r="Q290" s="1125"/>
      <c r="R290" s="1125"/>
      <c r="S290" s="1125"/>
      <c r="T290" s="1125"/>
      <c r="U290" s="1125"/>
      <c r="V290" s="1126"/>
    </row>
    <row r="291" spans="5:22" x14ac:dyDescent="0.25">
      <c r="E291" s="1124"/>
      <c r="F291" s="1125"/>
      <c r="G291" s="1125"/>
      <c r="H291" s="1125"/>
      <c r="I291" s="1125"/>
      <c r="J291" s="1125"/>
      <c r="K291" s="1126"/>
      <c r="P291" s="1124"/>
      <c r="Q291" s="1125"/>
      <c r="R291" s="1125"/>
      <c r="S291" s="1125"/>
      <c r="T291" s="1125"/>
      <c r="U291" s="1125"/>
      <c r="V291" s="1126"/>
    </row>
    <row r="292" spans="5:22" x14ac:dyDescent="0.25">
      <c r="E292" s="1124" t="s">
        <v>2631</v>
      </c>
      <c r="F292" s="1125"/>
      <c r="G292" s="1125"/>
      <c r="H292" s="1125"/>
      <c r="I292" s="1125"/>
      <c r="J292" s="1125"/>
      <c r="K292" s="1126"/>
      <c r="P292" s="1124"/>
      <c r="Q292" s="1125"/>
      <c r="R292" s="1125"/>
      <c r="S292" s="1125"/>
      <c r="T292" s="1125"/>
      <c r="U292" s="1125"/>
      <c r="V292" s="1126"/>
    </row>
    <row r="293" spans="5:22" x14ac:dyDescent="0.25">
      <c r="E293" s="1124"/>
      <c r="F293" s="1125"/>
      <c r="G293" s="1125"/>
      <c r="H293" s="1125"/>
      <c r="I293" s="1125"/>
      <c r="J293" s="1125"/>
      <c r="K293" s="1126"/>
      <c r="P293" s="1124"/>
      <c r="Q293" s="1125"/>
      <c r="R293" s="1125"/>
      <c r="S293" s="1125"/>
      <c r="T293" s="1125"/>
      <c r="U293" s="1125"/>
      <c r="V293" s="1126"/>
    </row>
    <row r="294" spans="5:22" x14ac:dyDescent="0.25">
      <c r="E294" s="1124"/>
      <c r="F294" s="1125"/>
      <c r="G294" s="1125"/>
      <c r="H294" s="1125"/>
      <c r="I294" s="1125"/>
      <c r="J294" s="1125"/>
      <c r="K294" s="1126"/>
      <c r="P294" s="1124"/>
      <c r="Q294" s="1125"/>
      <c r="R294" s="1125"/>
      <c r="S294" s="1125"/>
      <c r="T294" s="1125"/>
      <c r="U294" s="1125"/>
      <c r="V294" s="1126"/>
    </row>
    <row r="295" spans="5:22" x14ac:dyDescent="0.25">
      <c r="E295" s="1124"/>
      <c r="F295" s="1125"/>
      <c r="G295" s="1125"/>
      <c r="H295" s="1125"/>
      <c r="I295" s="1125"/>
      <c r="J295" s="1125"/>
      <c r="K295" s="1126"/>
      <c r="P295" s="1124"/>
      <c r="Q295" s="1125"/>
      <c r="R295" s="1125"/>
      <c r="S295" s="1125"/>
      <c r="T295" s="1125"/>
      <c r="U295" s="1125"/>
      <c r="V295" s="1126"/>
    </row>
    <row r="296" spans="5:22" x14ac:dyDescent="0.25">
      <c r="E296" s="1124"/>
      <c r="F296" s="1125"/>
      <c r="G296" s="1125"/>
      <c r="H296" s="1125"/>
      <c r="I296" s="1125"/>
      <c r="J296" s="1125"/>
      <c r="K296" s="1126"/>
      <c r="P296" s="1124"/>
      <c r="Q296" s="1125"/>
      <c r="R296" s="1125"/>
      <c r="S296" s="1125"/>
      <c r="T296" s="1125"/>
      <c r="U296" s="1125"/>
      <c r="V296" s="1126"/>
    </row>
    <row r="297" spans="5:22" x14ac:dyDescent="0.25">
      <c r="E297" s="1124"/>
      <c r="F297" s="1125"/>
      <c r="G297" s="1125"/>
      <c r="H297" s="1125"/>
      <c r="I297" s="1125"/>
      <c r="J297" s="1125"/>
      <c r="K297" s="1126"/>
      <c r="P297" s="1124"/>
      <c r="Q297" s="1125"/>
      <c r="R297" s="1125"/>
      <c r="S297" s="1125"/>
      <c r="T297" s="1125"/>
      <c r="U297" s="1125"/>
      <c r="V297" s="1126"/>
    </row>
    <row r="298" spans="5:22" x14ac:dyDescent="0.25">
      <c r="E298" s="1124"/>
      <c r="F298" s="1125"/>
      <c r="G298" s="1125"/>
      <c r="H298" s="1125"/>
      <c r="I298" s="1125"/>
      <c r="J298" s="1125"/>
      <c r="K298" s="1126"/>
      <c r="P298" s="1124"/>
      <c r="Q298" s="1125"/>
      <c r="R298" s="1125"/>
      <c r="S298" s="1125"/>
      <c r="T298" s="1125"/>
      <c r="U298" s="1125"/>
      <c r="V298" s="1126"/>
    </row>
    <row r="299" spans="5:22" x14ac:dyDescent="0.25">
      <c r="E299" s="1124"/>
      <c r="F299" s="1125"/>
      <c r="G299" s="1125"/>
      <c r="H299" s="1125"/>
      <c r="I299" s="1125"/>
      <c r="J299" s="1125"/>
      <c r="K299" s="1126"/>
      <c r="P299" s="1124"/>
      <c r="Q299" s="1125"/>
      <c r="R299" s="1125"/>
      <c r="S299" s="1125"/>
      <c r="T299" s="1125"/>
      <c r="U299" s="1125"/>
      <c r="V299" s="1126"/>
    </row>
    <row r="300" spans="5:22" x14ac:dyDescent="0.25">
      <c r="E300" s="1124"/>
      <c r="F300" s="1125"/>
      <c r="G300" s="1125"/>
      <c r="H300" s="1125"/>
      <c r="I300" s="1125"/>
      <c r="J300" s="1125"/>
      <c r="K300" s="1126"/>
      <c r="P300" s="1124"/>
      <c r="Q300" s="1125"/>
      <c r="R300" s="1125"/>
      <c r="S300" s="1125"/>
      <c r="T300" s="1125"/>
      <c r="U300" s="1125"/>
      <c r="V300" s="1126"/>
    </row>
    <row r="301" spans="5:22" x14ac:dyDescent="0.25">
      <c r="E301" s="1124"/>
      <c r="F301" s="1125"/>
      <c r="G301" s="1125"/>
      <c r="H301" s="1125"/>
      <c r="I301" s="1125"/>
      <c r="J301" s="1125"/>
      <c r="K301" s="1126"/>
      <c r="P301" s="1124"/>
      <c r="Q301" s="1125"/>
      <c r="R301" s="1125"/>
      <c r="S301" s="1125"/>
      <c r="T301" s="1125"/>
      <c r="U301" s="1125"/>
      <c r="V301" s="1126"/>
    </row>
    <row r="302" spans="5:22" x14ac:dyDescent="0.25">
      <c r="E302" s="1124"/>
      <c r="F302" s="1125"/>
      <c r="G302" s="1125"/>
      <c r="H302" s="1125"/>
      <c r="I302" s="1125"/>
      <c r="J302" s="1125"/>
      <c r="K302" s="1126"/>
      <c r="P302" s="1124"/>
      <c r="Q302" s="1125"/>
      <c r="R302" s="1125"/>
      <c r="S302" s="1125"/>
      <c r="T302" s="1125"/>
      <c r="U302" s="1125"/>
      <c r="V302" s="1126"/>
    </row>
    <row r="303" spans="5:22" x14ac:dyDescent="0.25">
      <c r="E303" s="1124"/>
      <c r="F303" s="1125"/>
      <c r="G303" s="1125"/>
      <c r="H303" s="1125"/>
      <c r="I303" s="1125"/>
      <c r="J303" s="1125"/>
      <c r="K303" s="1126"/>
      <c r="P303" s="1124"/>
      <c r="Q303" s="1125"/>
      <c r="R303" s="1125"/>
      <c r="S303" s="1125"/>
      <c r="T303" s="1125"/>
      <c r="U303" s="1125"/>
      <c r="V303" s="1126"/>
    </row>
    <row r="304" spans="5:22" x14ac:dyDescent="0.25">
      <c r="E304" s="1124"/>
      <c r="F304" s="1125"/>
      <c r="G304" s="1125"/>
      <c r="H304" s="1125"/>
      <c r="I304" s="1125"/>
      <c r="J304" s="1125"/>
      <c r="K304" s="1126"/>
      <c r="P304" s="1124"/>
      <c r="Q304" s="1125"/>
      <c r="R304" s="1125"/>
      <c r="S304" s="1125"/>
      <c r="T304" s="1125"/>
      <c r="U304" s="1125"/>
      <c r="V304" s="1126"/>
    </row>
    <row r="305" spans="5:22" x14ac:dyDescent="0.25">
      <c r="E305" s="1124"/>
      <c r="F305" s="1125"/>
      <c r="G305" s="1125"/>
      <c r="H305" s="1125"/>
      <c r="I305" s="1125"/>
      <c r="J305" s="1125"/>
      <c r="K305" s="1126"/>
      <c r="P305" s="1124"/>
      <c r="Q305" s="1125"/>
      <c r="R305" s="1125"/>
      <c r="S305" s="1125"/>
      <c r="T305" s="1125"/>
      <c r="U305" s="1125"/>
      <c r="V305" s="1126"/>
    </row>
    <row r="306" spans="5:22" x14ac:dyDescent="0.25">
      <c r="E306" s="1124"/>
      <c r="F306" s="1125"/>
      <c r="G306" s="1125"/>
      <c r="H306" s="1125"/>
      <c r="I306" s="1125"/>
      <c r="J306" s="1125"/>
      <c r="K306" s="1126"/>
      <c r="P306" s="1124"/>
      <c r="Q306" s="1125"/>
      <c r="R306" s="1125"/>
      <c r="S306" s="1125"/>
      <c r="T306" s="1125"/>
      <c r="U306" s="1125"/>
      <c r="V306" s="1126"/>
    </row>
  </sheetData>
  <sheetProtection algorithmName="SHA-512" hashValue="W9iElQKplQCZoMW7kAiDyYsIPJSRqlOtt817LgbpDZXw9cTWAzeE3JCwJGVv3C1IbfyGwX3NkVocZqFSmuvPng==" saltValue="gLCC/WfD0mbRMDPQswrm3Q==" spinCount="100000" sheet="1" objects="1" scenarios="1"/>
  <mergeCells count="18">
    <mergeCell ref="P284:V286"/>
    <mergeCell ref="P287:V291"/>
    <mergeCell ref="P292:V306"/>
    <mergeCell ref="P2:V2"/>
    <mergeCell ref="P3:P4"/>
    <mergeCell ref="Q3:Q4"/>
    <mergeCell ref="R3:R4"/>
    <mergeCell ref="S3:T3"/>
    <mergeCell ref="U3:V3"/>
    <mergeCell ref="E284:K286"/>
    <mergeCell ref="E287:K291"/>
    <mergeCell ref="E292:K306"/>
    <mergeCell ref="J3:K3"/>
    <mergeCell ref="E2:K2"/>
    <mergeCell ref="G3:G4"/>
    <mergeCell ref="F3:F4"/>
    <mergeCell ref="E3:E4"/>
    <mergeCell ref="H3:I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B1:N51"/>
  <sheetViews>
    <sheetView zoomScale="85" zoomScaleNormal="85" workbookViewId="0">
      <selection activeCell="C19" sqref="C19"/>
    </sheetView>
  </sheetViews>
  <sheetFormatPr baseColWidth="10" defaultColWidth="9.140625" defaultRowHeight="15" x14ac:dyDescent="0.25"/>
  <cols>
    <col min="2" max="2" width="35.42578125" bestFit="1" customWidth="1"/>
    <col min="3" max="3" width="53.140625" bestFit="1" customWidth="1"/>
    <col min="4" max="4" width="12" bestFit="1" customWidth="1"/>
    <col min="9" max="9" width="35.42578125" bestFit="1" customWidth="1"/>
    <col min="10" max="10" width="53.140625" bestFit="1" customWidth="1"/>
  </cols>
  <sheetData>
    <row r="1" spans="2:14" ht="15.75" thickBot="1" x14ac:dyDescent="0.3">
      <c r="D1" s="1168"/>
      <c r="E1" s="1168"/>
      <c r="F1" s="1168"/>
      <c r="G1" s="1168"/>
    </row>
    <row r="2" spans="2:14" ht="20.25" thickTop="1" thickBot="1" x14ac:dyDescent="0.3">
      <c r="B2" s="1173" t="s">
        <v>2607</v>
      </c>
      <c r="C2" s="1174"/>
      <c r="D2" s="1174"/>
      <c r="E2" s="1174"/>
      <c r="F2" s="1174"/>
      <c r="G2" s="1175"/>
      <c r="I2" s="1176" t="s">
        <v>2608</v>
      </c>
      <c r="J2" s="1177"/>
      <c r="K2" s="1177"/>
      <c r="L2" s="1177"/>
      <c r="M2" s="1177"/>
      <c r="N2" s="1178"/>
    </row>
    <row r="3" spans="2:14" x14ac:dyDescent="0.25">
      <c r="B3" s="1182" t="s">
        <v>648</v>
      </c>
      <c r="C3" s="1169" t="s">
        <v>49</v>
      </c>
      <c r="D3" s="1169" t="s">
        <v>667</v>
      </c>
      <c r="E3" s="1169"/>
      <c r="F3" s="1169" t="s">
        <v>668</v>
      </c>
      <c r="G3" s="1170"/>
      <c r="I3" s="1179" t="s">
        <v>648</v>
      </c>
      <c r="J3" s="1171" t="s">
        <v>49</v>
      </c>
      <c r="K3" s="1171" t="s">
        <v>667</v>
      </c>
      <c r="L3" s="1171"/>
      <c r="M3" s="1171" t="s">
        <v>668</v>
      </c>
      <c r="N3" s="1172"/>
    </row>
    <row r="4" spans="2:14" x14ac:dyDescent="0.25">
      <c r="B4" s="1183"/>
      <c r="C4" s="1184"/>
      <c r="D4" s="332" t="s">
        <v>299</v>
      </c>
      <c r="E4" s="333" t="s">
        <v>300</v>
      </c>
      <c r="F4" s="332" t="s">
        <v>299</v>
      </c>
      <c r="G4" s="336" t="s">
        <v>300</v>
      </c>
      <c r="I4" s="1180"/>
      <c r="J4" s="1181"/>
      <c r="K4" s="334" t="s">
        <v>299</v>
      </c>
      <c r="L4" s="335" t="s">
        <v>300</v>
      </c>
      <c r="M4" s="334" t="s">
        <v>299</v>
      </c>
      <c r="N4" s="347" t="s">
        <v>300</v>
      </c>
    </row>
    <row r="5" spans="2:14" x14ac:dyDescent="0.25">
      <c r="B5" s="337" t="s">
        <v>651</v>
      </c>
      <c r="C5" s="162" t="s">
        <v>11</v>
      </c>
      <c r="D5" s="325">
        <v>0.02</v>
      </c>
      <c r="E5" s="325">
        <v>0.41</v>
      </c>
      <c r="F5" s="325">
        <v>6.45</v>
      </c>
      <c r="G5" s="338">
        <v>10.8</v>
      </c>
      <c r="I5" s="348" t="s">
        <v>651</v>
      </c>
      <c r="J5" s="327" t="s">
        <v>11</v>
      </c>
      <c r="K5" s="325"/>
      <c r="L5" s="325"/>
      <c r="M5" s="325"/>
      <c r="N5" s="338"/>
    </row>
    <row r="6" spans="2:14" ht="15.75" thickBot="1" x14ac:dyDescent="0.3">
      <c r="B6" s="339" t="s">
        <v>651</v>
      </c>
      <c r="C6" s="330" t="s">
        <v>652</v>
      </c>
      <c r="D6" s="331">
        <v>0.02</v>
      </c>
      <c r="E6" s="331">
        <v>0.41</v>
      </c>
      <c r="F6" s="331">
        <v>6.45</v>
      </c>
      <c r="G6" s="340">
        <v>10.8</v>
      </c>
      <c r="I6" s="349" t="s">
        <v>651</v>
      </c>
      <c r="J6" s="350" t="s">
        <v>652</v>
      </c>
      <c r="K6" s="331"/>
      <c r="L6" s="331"/>
      <c r="M6" s="331"/>
      <c r="N6" s="340"/>
    </row>
    <row r="7" spans="2:14" ht="15.75" thickTop="1" x14ac:dyDescent="0.25">
      <c r="B7" s="341" t="s">
        <v>653</v>
      </c>
      <c r="C7" s="328" t="s">
        <v>50</v>
      </c>
      <c r="D7" s="329">
        <v>0.01</v>
      </c>
      <c r="E7" s="329">
        <v>0.6</v>
      </c>
      <c r="F7" s="329">
        <v>10.45</v>
      </c>
      <c r="G7" s="342">
        <v>15.52</v>
      </c>
      <c r="I7" s="351" t="s">
        <v>653</v>
      </c>
      <c r="J7" s="352" t="s">
        <v>50</v>
      </c>
      <c r="K7" s="329"/>
      <c r="L7" s="329"/>
      <c r="M7" s="329"/>
      <c r="N7" s="342"/>
    </row>
    <row r="8" spans="2:14" x14ac:dyDescent="0.25">
      <c r="B8" s="337" t="s">
        <v>653</v>
      </c>
      <c r="C8" s="162" t="s">
        <v>51</v>
      </c>
      <c r="D8" s="325">
        <v>0.06</v>
      </c>
      <c r="E8" s="325">
        <v>0.39</v>
      </c>
      <c r="F8" s="325">
        <v>8.16</v>
      </c>
      <c r="G8" s="338">
        <v>13.91</v>
      </c>
      <c r="I8" s="348" t="s">
        <v>653</v>
      </c>
      <c r="J8" s="327" t="s">
        <v>51</v>
      </c>
      <c r="K8" s="325"/>
      <c r="L8" s="325"/>
      <c r="M8" s="325"/>
      <c r="N8" s="338"/>
    </row>
    <row r="9" spans="2:14" ht="15.75" thickBot="1" x14ac:dyDescent="0.3">
      <c r="B9" s="339" t="s">
        <v>653</v>
      </c>
      <c r="C9" s="330" t="s">
        <v>52</v>
      </c>
      <c r="D9" s="331">
        <v>0.16</v>
      </c>
      <c r="E9" s="331">
        <v>1.45</v>
      </c>
      <c r="F9" s="331">
        <v>9.02</v>
      </c>
      <c r="G9" s="340">
        <v>13.27</v>
      </c>
      <c r="I9" s="349" t="s">
        <v>653</v>
      </c>
      <c r="J9" s="350" t="s">
        <v>52</v>
      </c>
      <c r="K9" s="331"/>
      <c r="L9" s="331"/>
      <c r="M9" s="331"/>
      <c r="N9" s="340"/>
    </row>
    <row r="10" spans="2:14" ht="15.75" thickTop="1" x14ac:dyDescent="0.25">
      <c r="B10" s="337" t="s">
        <v>654</v>
      </c>
      <c r="C10" s="162" t="s">
        <v>53</v>
      </c>
      <c r="D10" s="325">
        <v>0.53</v>
      </c>
      <c r="E10" s="325">
        <v>1.8</v>
      </c>
      <c r="F10" s="325">
        <v>10.6</v>
      </c>
      <c r="G10" s="338">
        <v>15.17</v>
      </c>
      <c r="I10" s="348" t="s">
        <v>654</v>
      </c>
      <c r="J10" s="327" t="s">
        <v>53</v>
      </c>
      <c r="K10" s="325"/>
      <c r="L10" s="325"/>
      <c r="M10" s="325"/>
      <c r="N10" s="338"/>
    </row>
    <row r="11" spans="2:14" x14ac:dyDescent="0.25">
      <c r="B11" s="337" t="s">
        <v>654</v>
      </c>
      <c r="C11" s="326" t="s">
        <v>15</v>
      </c>
      <c r="D11" s="325">
        <v>0</v>
      </c>
      <c r="E11" s="325">
        <v>0.94</v>
      </c>
      <c r="F11" s="325">
        <v>10.199999999999999</v>
      </c>
      <c r="G11" s="338">
        <v>16.760000000000002</v>
      </c>
      <c r="I11" s="348" t="s">
        <v>654</v>
      </c>
      <c r="J11" s="353" t="s">
        <v>15</v>
      </c>
      <c r="K11" s="325"/>
      <c r="L11" s="325"/>
      <c r="M11" s="325"/>
      <c r="N11" s="338"/>
    </row>
    <row r="12" spans="2:14" x14ac:dyDescent="0.25">
      <c r="B12" s="337" t="s">
        <v>654</v>
      </c>
      <c r="C12" s="162" t="s">
        <v>54</v>
      </c>
      <c r="D12" s="325">
        <v>0.08</v>
      </c>
      <c r="E12" s="325">
        <v>0.96</v>
      </c>
      <c r="F12" s="325">
        <v>10.61</v>
      </c>
      <c r="G12" s="338">
        <v>16.09</v>
      </c>
      <c r="I12" s="348" t="s">
        <v>654</v>
      </c>
      <c r="J12" s="327" t="s">
        <v>54</v>
      </c>
      <c r="K12" s="325"/>
      <c r="L12" s="325"/>
      <c r="M12" s="325"/>
      <c r="N12" s="338"/>
    </row>
    <row r="13" spans="2:14" x14ac:dyDescent="0.25">
      <c r="B13" s="337" t="s">
        <v>654</v>
      </c>
      <c r="C13" s="162" t="s">
        <v>655</v>
      </c>
      <c r="D13" s="325">
        <v>0.06</v>
      </c>
      <c r="E13" s="325">
        <v>1.07</v>
      </c>
      <c r="F13" s="325">
        <v>9.3000000000000007</v>
      </c>
      <c r="G13" s="338">
        <v>15.69</v>
      </c>
      <c r="I13" s="348" t="s">
        <v>654</v>
      </c>
      <c r="J13" s="327" t="s">
        <v>655</v>
      </c>
      <c r="K13" s="325"/>
      <c r="L13" s="325"/>
      <c r="M13" s="325"/>
      <c r="N13" s="338"/>
    </row>
    <row r="14" spans="2:14" ht="15.75" thickBot="1" x14ac:dyDescent="0.3">
      <c r="B14" s="339" t="s">
        <v>654</v>
      </c>
      <c r="C14" s="330" t="s">
        <v>656</v>
      </c>
      <c r="D14" s="331">
        <v>0.06</v>
      </c>
      <c r="E14" s="331">
        <v>1.32</v>
      </c>
      <c r="F14" s="331">
        <v>10.31</v>
      </c>
      <c r="G14" s="340">
        <v>16.100000000000001</v>
      </c>
      <c r="I14" s="349" t="s">
        <v>654</v>
      </c>
      <c r="J14" s="350" t="s">
        <v>656</v>
      </c>
      <c r="K14" s="331"/>
      <c r="L14" s="331"/>
      <c r="M14" s="331"/>
      <c r="N14" s="340"/>
    </row>
    <row r="15" spans="2:14" ht="15.75" thickTop="1" x14ac:dyDescent="0.25">
      <c r="B15" s="337" t="s">
        <v>56</v>
      </c>
      <c r="C15" s="162" t="s">
        <v>56</v>
      </c>
      <c r="D15" s="325">
        <v>0.26</v>
      </c>
      <c r="E15" s="325">
        <v>1.53</v>
      </c>
      <c r="F15" s="325">
        <v>13.4</v>
      </c>
      <c r="G15" s="338">
        <v>18.34</v>
      </c>
      <c r="I15" s="348" t="s">
        <v>56</v>
      </c>
      <c r="J15" s="327" t="s">
        <v>56</v>
      </c>
      <c r="K15" s="325"/>
      <c r="L15" s="325"/>
      <c r="M15" s="325"/>
      <c r="N15" s="338"/>
    </row>
    <row r="16" spans="2:14" ht="15.75" thickBot="1" x14ac:dyDescent="0.3">
      <c r="B16" s="339" t="s">
        <v>56</v>
      </c>
      <c r="C16" s="330" t="s">
        <v>657</v>
      </c>
      <c r="D16" s="331">
        <v>0.26</v>
      </c>
      <c r="E16" s="331">
        <v>1.53</v>
      </c>
      <c r="F16" s="331">
        <v>13.4</v>
      </c>
      <c r="G16" s="340">
        <v>18.34</v>
      </c>
      <c r="I16" s="349" t="s">
        <v>56</v>
      </c>
      <c r="J16" s="350" t="s">
        <v>657</v>
      </c>
      <c r="K16" s="331"/>
      <c r="L16" s="331"/>
      <c r="M16" s="331"/>
      <c r="N16" s="340"/>
    </row>
    <row r="17" spans="2:14" ht="16.5" thickTop="1" thickBot="1" x14ac:dyDescent="0.3">
      <c r="B17" s="339" t="s">
        <v>57</v>
      </c>
      <c r="C17" s="330" t="s">
        <v>57</v>
      </c>
      <c r="D17" s="331">
        <v>0.22</v>
      </c>
      <c r="E17" s="331">
        <v>0.74</v>
      </c>
      <c r="F17" s="331">
        <v>13.45</v>
      </c>
      <c r="G17" s="340">
        <v>17.77</v>
      </c>
      <c r="I17" s="349" t="s">
        <v>57</v>
      </c>
      <c r="J17" s="350" t="s">
        <v>57</v>
      </c>
      <c r="K17" s="331"/>
      <c r="L17" s="331"/>
      <c r="M17" s="331"/>
      <c r="N17" s="340"/>
    </row>
    <row r="18" spans="2:14" ht="16.5" thickTop="1" thickBot="1" x14ac:dyDescent="0.3">
      <c r="B18" s="339" t="s">
        <v>19</v>
      </c>
      <c r="C18" s="330" t="s">
        <v>19</v>
      </c>
      <c r="D18" s="331">
        <v>0.02</v>
      </c>
      <c r="E18" s="331">
        <v>0.36</v>
      </c>
      <c r="F18" s="331">
        <v>6.76</v>
      </c>
      <c r="G18" s="340">
        <v>15.45</v>
      </c>
      <c r="I18" s="349" t="s">
        <v>19</v>
      </c>
      <c r="J18" s="350" t="s">
        <v>19</v>
      </c>
      <c r="K18" s="331"/>
      <c r="L18" s="331"/>
      <c r="M18" s="331"/>
      <c r="N18" s="340"/>
    </row>
    <row r="19" spans="2:14" ht="16.5" thickTop="1" thickBot="1" x14ac:dyDescent="0.3">
      <c r="B19" s="551" t="s">
        <v>23</v>
      </c>
      <c r="C19" s="552" t="s">
        <v>23</v>
      </c>
      <c r="D19" s="553">
        <v>0.1</v>
      </c>
      <c r="E19" s="553">
        <v>0.7</v>
      </c>
      <c r="F19" s="553">
        <v>7</v>
      </c>
      <c r="G19" s="554">
        <v>12.8</v>
      </c>
      <c r="I19" s="555" t="s">
        <v>23</v>
      </c>
      <c r="J19" s="556" t="s">
        <v>23</v>
      </c>
      <c r="K19" s="553"/>
      <c r="L19" s="553"/>
      <c r="M19" s="553"/>
      <c r="N19" s="554"/>
    </row>
    <row r="20" spans="2:14" ht="15.75" thickTop="1" x14ac:dyDescent="0.25">
      <c r="B20" s="341" t="s">
        <v>658</v>
      </c>
      <c r="C20" s="328" t="s">
        <v>659</v>
      </c>
      <c r="D20" s="329">
        <v>0</v>
      </c>
      <c r="E20" s="329">
        <v>0.66</v>
      </c>
      <c r="F20" s="329">
        <v>4.95</v>
      </c>
      <c r="G20" s="342">
        <v>10.58</v>
      </c>
      <c r="I20" s="351" t="s">
        <v>658</v>
      </c>
      <c r="J20" s="352" t="s">
        <v>659</v>
      </c>
      <c r="K20" s="329"/>
      <c r="L20" s="329"/>
      <c r="M20" s="329"/>
      <c r="N20" s="342"/>
    </row>
    <row r="21" spans="2:14" x14ac:dyDescent="0.25">
      <c r="B21" s="337" t="s">
        <v>658</v>
      </c>
      <c r="C21" s="162" t="s">
        <v>660</v>
      </c>
      <c r="D21" s="325">
        <v>0</v>
      </c>
      <c r="E21" s="325">
        <v>0.46</v>
      </c>
      <c r="F21" s="325">
        <v>5.5</v>
      </c>
      <c r="G21" s="338">
        <v>10.66</v>
      </c>
      <c r="I21" s="348" t="s">
        <v>658</v>
      </c>
      <c r="J21" s="327" t="s">
        <v>660</v>
      </c>
      <c r="K21" s="325"/>
      <c r="L21" s="325"/>
      <c r="M21" s="325"/>
      <c r="N21" s="338"/>
    </row>
    <row r="22" spans="2:14" x14ac:dyDescent="0.25">
      <c r="B22" s="337" t="s">
        <v>658</v>
      </c>
      <c r="C22" s="162" t="s">
        <v>62</v>
      </c>
      <c r="D22" s="325">
        <v>0</v>
      </c>
      <c r="E22" s="325">
        <v>0.24</v>
      </c>
      <c r="F22" s="325">
        <v>3.48</v>
      </c>
      <c r="G22" s="338">
        <v>8.51</v>
      </c>
      <c r="I22" s="348" t="s">
        <v>658</v>
      </c>
      <c r="J22" s="327" t="s">
        <v>62</v>
      </c>
      <c r="K22" s="325"/>
      <c r="L22" s="325"/>
      <c r="M22" s="325"/>
      <c r="N22" s="338"/>
    </row>
    <row r="23" spans="2:14" x14ac:dyDescent="0.25">
      <c r="B23" s="337" t="s">
        <v>658</v>
      </c>
      <c r="C23" s="162" t="s">
        <v>63</v>
      </c>
      <c r="D23" s="325">
        <v>0</v>
      </c>
      <c r="E23" s="325">
        <v>0.33</v>
      </c>
      <c r="F23" s="325">
        <v>4.17</v>
      </c>
      <c r="G23" s="338">
        <v>9.42</v>
      </c>
      <c r="I23" s="348" t="s">
        <v>658</v>
      </c>
      <c r="J23" s="327" t="s">
        <v>63</v>
      </c>
      <c r="K23" s="325"/>
      <c r="L23" s="325"/>
      <c r="M23" s="325"/>
      <c r="N23" s="338"/>
    </row>
    <row r="24" spans="2:14" ht="15.75" thickBot="1" x14ac:dyDescent="0.3">
      <c r="B24" s="339" t="s">
        <v>658</v>
      </c>
      <c r="C24" s="330" t="s">
        <v>661</v>
      </c>
      <c r="D24" s="331">
        <v>0</v>
      </c>
      <c r="E24" s="331">
        <v>0.35</v>
      </c>
      <c r="F24" s="331">
        <v>4.3</v>
      </c>
      <c r="G24" s="340">
        <v>9.73</v>
      </c>
      <c r="I24" s="349" t="s">
        <v>658</v>
      </c>
      <c r="J24" s="350" t="s">
        <v>661</v>
      </c>
      <c r="K24" s="331"/>
      <c r="L24" s="331"/>
      <c r="M24" s="331"/>
      <c r="N24" s="340"/>
    </row>
    <row r="25" spans="2:14" ht="15.75" thickTop="1" x14ac:dyDescent="0.25">
      <c r="B25" s="337" t="s">
        <v>662</v>
      </c>
      <c r="C25" s="162" t="s">
        <v>59</v>
      </c>
      <c r="D25" s="325">
        <v>0.08</v>
      </c>
      <c r="E25" s="325">
        <v>0.63</v>
      </c>
      <c r="F25" s="325">
        <v>8.6300000000000008</v>
      </c>
      <c r="G25" s="338">
        <v>13.61</v>
      </c>
      <c r="I25" s="348" t="s">
        <v>662</v>
      </c>
      <c r="J25" s="327" t="s">
        <v>59</v>
      </c>
      <c r="K25" s="325"/>
      <c r="L25" s="325"/>
      <c r="M25" s="325"/>
      <c r="N25" s="338"/>
    </row>
    <row r="26" spans="2:14" x14ac:dyDescent="0.25">
      <c r="B26" s="337" t="s">
        <v>662</v>
      </c>
      <c r="C26" s="162" t="s">
        <v>60</v>
      </c>
      <c r="D26" s="325">
        <v>0.12</v>
      </c>
      <c r="E26" s="325">
        <v>0.65</v>
      </c>
      <c r="F26" s="325">
        <v>9.35</v>
      </c>
      <c r="G26" s="338">
        <v>13.53</v>
      </c>
      <c r="I26" s="348" t="s">
        <v>662</v>
      </c>
      <c r="J26" s="327" t="s">
        <v>60</v>
      </c>
      <c r="K26" s="325"/>
      <c r="L26" s="325"/>
      <c r="M26" s="325"/>
      <c r="N26" s="338"/>
    </row>
    <row r="27" spans="2:14" x14ac:dyDescent="0.25">
      <c r="B27" s="337" t="s">
        <v>662</v>
      </c>
      <c r="C27" s="162" t="s">
        <v>61</v>
      </c>
      <c r="D27" s="325">
        <v>0.28999999999999998</v>
      </c>
      <c r="E27" s="325">
        <v>0.95</v>
      </c>
      <c r="F27" s="325">
        <v>13.56</v>
      </c>
      <c r="G27" s="338">
        <v>18.27</v>
      </c>
      <c r="I27" s="348" t="s">
        <v>662</v>
      </c>
      <c r="J27" s="327" t="s">
        <v>61</v>
      </c>
      <c r="K27" s="325"/>
      <c r="L27" s="325"/>
      <c r="M27" s="325"/>
      <c r="N27" s="338"/>
    </row>
    <row r="28" spans="2:14" ht="15.75" thickBot="1" x14ac:dyDescent="0.3">
      <c r="B28" s="339" t="s">
        <v>662</v>
      </c>
      <c r="C28" s="330" t="s">
        <v>663</v>
      </c>
      <c r="D28" s="331">
        <v>0.21</v>
      </c>
      <c r="E28" s="331">
        <v>0.88</v>
      </c>
      <c r="F28" s="331">
        <v>10.7</v>
      </c>
      <c r="G28" s="340">
        <v>16.91</v>
      </c>
      <c r="I28" s="349" t="s">
        <v>662</v>
      </c>
      <c r="J28" s="350" t="s">
        <v>663</v>
      </c>
      <c r="K28" s="331"/>
      <c r="L28" s="331"/>
      <c r="M28" s="331"/>
      <c r="N28" s="340"/>
    </row>
    <row r="29" spans="2:14" ht="15.75" thickTop="1" x14ac:dyDescent="0.25">
      <c r="B29" s="337" t="s">
        <v>664</v>
      </c>
      <c r="C29" s="162" t="s">
        <v>64</v>
      </c>
      <c r="D29" s="325">
        <v>0</v>
      </c>
      <c r="E29" s="325">
        <v>0.89</v>
      </c>
      <c r="F29" s="325">
        <v>6.87</v>
      </c>
      <c r="G29" s="338">
        <v>12.1</v>
      </c>
      <c r="I29" s="348" t="s">
        <v>664</v>
      </c>
      <c r="J29" s="327" t="s">
        <v>64</v>
      </c>
      <c r="K29" s="325"/>
      <c r="L29" s="325"/>
      <c r="M29" s="325"/>
      <c r="N29" s="338"/>
    </row>
    <row r="30" spans="2:14" x14ac:dyDescent="0.25">
      <c r="B30" s="337" t="s">
        <v>664</v>
      </c>
      <c r="C30" s="162" t="s">
        <v>55</v>
      </c>
      <c r="D30" s="325">
        <v>0.24</v>
      </c>
      <c r="E30" s="325">
        <v>1.0900000000000001</v>
      </c>
      <c r="F30" s="325">
        <v>6.78</v>
      </c>
      <c r="G30" s="338">
        <v>11.66</v>
      </c>
      <c r="I30" s="348" t="s">
        <v>664</v>
      </c>
      <c r="J30" s="327" t="s">
        <v>55</v>
      </c>
      <c r="K30" s="325"/>
      <c r="L30" s="325"/>
      <c r="M30" s="325"/>
      <c r="N30" s="338"/>
    </row>
    <row r="31" spans="2:14" ht="15.75" thickBot="1" x14ac:dyDescent="0.3">
      <c r="B31" s="339" t="s">
        <v>664</v>
      </c>
      <c r="C31" s="330" t="s">
        <v>665</v>
      </c>
      <c r="D31" s="331">
        <v>0.2</v>
      </c>
      <c r="E31" s="331">
        <v>1.07</v>
      </c>
      <c r="F31" s="331">
        <v>6.8</v>
      </c>
      <c r="G31" s="340">
        <v>11.68</v>
      </c>
      <c r="I31" s="349" t="s">
        <v>664</v>
      </c>
      <c r="J31" s="350" t="s">
        <v>665</v>
      </c>
      <c r="K31" s="331"/>
      <c r="L31" s="331"/>
      <c r="M31" s="331"/>
      <c r="N31" s="340"/>
    </row>
    <row r="32" spans="2:14" ht="16.5" thickTop="1" thickBot="1" x14ac:dyDescent="0.3">
      <c r="B32" s="343" t="s">
        <v>301</v>
      </c>
      <c r="C32" s="344" t="s">
        <v>666</v>
      </c>
      <c r="D32" s="345">
        <v>0.03</v>
      </c>
      <c r="E32" s="345">
        <v>0.7</v>
      </c>
      <c r="F32" s="345">
        <v>7.57</v>
      </c>
      <c r="G32" s="346">
        <v>14.42</v>
      </c>
      <c r="I32" s="354" t="s">
        <v>301</v>
      </c>
      <c r="J32" s="355" t="s">
        <v>666</v>
      </c>
      <c r="K32" s="345"/>
      <c r="L32" s="345"/>
      <c r="M32" s="345"/>
      <c r="N32" s="346"/>
    </row>
    <row r="33" spans="2:14" ht="15.75" thickTop="1" x14ac:dyDescent="0.25"/>
    <row r="34" spans="2:14" x14ac:dyDescent="0.25">
      <c r="B34" s="1149" t="s">
        <v>2628</v>
      </c>
      <c r="C34" s="1149"/>
      <c r="D34" s="1149"/>
      <c r="E34" s="1149"/>
      <c r="F34" s="1149"/>
      <c r="G34" s="1149"/>
      <c r="H34" s="548"/>
      <c r="I34" s="1115" t="s">
        <v>2609</v>
      </c>
      <c r="J34" s="1116"/>
      <c r="K34" s="1116"/>
      <c r="L34" s="1116"/>
      <c r="M34" s="1116"/>
      <c r="N34" s="1117"/>
    </row>
    <row r="35" spans="2:14" x14ac:dyDescent="0.25">
      <c r="B35" s="1149"/>
      <c r="C35" s="1149"/>
      <c r="D35" s="1149"/>
      <c r="E35" s="1149"/>
      <c r="F35" s="1149"/>
      <c r="G35" s="1149"/>
      <c r="H35" s="548"/>
      <c r="I35" s="1121"/>
      <c r="J35" s="1122"/>
      <c r="K35" s="1122"/>
      <c r="L35" s="1122"/>
      <c r="M35" s="1122"/>
      <c r="N35" s="1123"/>
    </row>
    <row r="36" spans="2:14" ht="15" customHeight="1" x14ac:dyDescent="0.25">
      <c r="B36" s="1149" t="s">
        <v>2627</v>
      </c>
      <c r="C36" s="1149"/>
      <c r="D36" s="1149"/>
      <c r="E36" s="1149"/>
      <c r="F36" s="1149"/>
      <c r="G36" s="1149"/>
      <c r="H36" s="548"/>
      <c r="I36" s="1159"/>
      <c r="J36" s="1160"/>
      <c r="K36" s="1160"/>
      <c r="L36" s="1160"/>
      <c r="M36" s="1160"/>
      <c r="N36" s="1161"/>
    </row>
    <row r="37" spans="2:14" x14ac:dyDescent="0.25">
      <c r="B37" s="1149"/>
      <c r="C37" s="1149"/>
      <c r="D37" s="1149"/>
      <c r="E37" s="1149"/>
      <c r="F37" s="1149"/>
      <c r="G37" s="1149"/>
      <c r="H37" s="548"/>
      <c r="I37" s="1162"/>
      <c r="J37" s="1163"/>
      <c r="K37" s="1163"/>
      <c r="L37" s="1163"/>
      <c r="M37" s="1163"/>
      <c r="N37" s="1164"/>
    </row>
    <row r="38" spans="2:14" s="499" customFormat="1" x14ac:dyDescent="0.25">
      <c r="B38" s="1149"/>
      <c r="C38" s="1149"/>
      <c r="D38" s="1149"/>
      <c r="E38" s="1149"/>
      <c r="F38" s="1149"/>
      <c r="G38" s="1149"/>
      <c r="H38" s="548"/>
      <c r="I38" s="1162"/>
      <c r="J38" s="1163"/>
      <c r="K38" s="1163"/>
      <c r="L38" s="1163"/>
      <c r="M38" s="1163"/>
      <c r="N38" s="1164"/>
    </row>
    <row r="39" spans="2:14" x14ac:dyDescent="0.25">
      <c r="B39" s="1149"/>
      <c r="C39" s="1149"/>
      <c r="D39" s="1149"/>
      <c r="E39" s="1149"/>
      <c r="F39" s="1149"/>
      <c r="G39" s="1149"/>
      <c r="H39" s="548"/>
      <c r="I39" s="1162"/>
      <c r="J39" s="1163"/>
      <c r="K39" s="1163"/>
      <c r="L39" s="1163"/>
      <c r="M39" s="1163"/>
      <c r="N39" s="1164"/>
    </row>
    <row r="40" spans="2:14" ht="15" customHeight="1" x14ac:dyDescent="0.25">
      <c r="B40" s="1150" t="s">
        <v>2632</v>
      </c>
      <c r="C40" s="1151"/>
      <c r="D40" s="1151"/>
      <c r="E40" s="1151"/>
      <c r="F40" s="1151"/>
      <c r="G40" s="1152"/>
      <c r="H40" s="548"/>
      <c r="I40" s="1162"/>
      <c r="J40" s="1163"/>
      <c r="K40" s="1163"/>
      <c r="L40" s="1163"/>
      <c r="M40" s="1163"/>
      <c r="N40" s="1164"/>
    </row>
    <row r="41" spans="2:14" x14ac:dyDescent="0.25">
      <c r="B41" s="1153"/>
      <c r="C41" s="1154"/>
      <c r="D41" s="1154"/>
      <c r="E41" s="1154"/>
      <c r="F41" s="1154"/>
      <c r="G41" s="1155"/>
      <c r="H41" s="548"/>
      <c r="I41" s="1162"/>
      <c r="J41" s="1163"/>
      <c r="K41" s="1163"/>
      <c r="L41" s="1163"/>
      <c r="M41" s="1163"/>
      <c r="N41" s="1164"/>
    </row>
    <row r="42" spans="2:14" x14ac:dyDescent="0.25">
      <c r="B42" s="1153"/>
      <c r="C42" s="1154"/>
      <c r="D42" s="1154"/>
      <c r="E42" s="1154"/>
      <c r="F42" s="1154"/>
      <c r="G42" s="1155"/>
      <c r="H42" s="548"/>
      <c r="I42" s="1162"/>
      <c r="J42" s="1163"/>
      <c r="K42" s="1163"/>
      <c r="L42" s="1163"/>
      <c r="M42" s="1163"/>
      <c r="N42" s="1164"/>
    </row>
    <row r="43" spans="2:14" x14ac:dyDescent="0.25">
      <c r="B43" s="1153"/>
      <c r="C43" s="1154"/>
      <c r="D43" s="1154"/>
      <c r="E43" s="1154"/>
      <c r="F43" s="1154"/>
      <c r="G43" s="1155"/>
      <c r="I43" s="1162"/>
      <c r="J43" s="1163"/>
      <c r="K43" s="1163"/>
      <c r="L43" s="1163"/>
      <c r="M43" s="1163"/>
      <c r="N43" s="1164"/>
    </row>
    <row r="44" spans="2:14" x14ac:dyDescent="0.25">
      <c r="B44" s="1153"/>
      <c r="C44" s="1154"/>
      <c r="D44" s="1154"/>
      <c r="E44" s="1154"/>
      <c r="F44" s="1154"/>
      <c r="G44" s="1155"/>
      <c r="I44" s="1162"/>
      <c r="J44" s="1163"/>
      <c r="K44" s="1163"/>
      <c r="L44" s="1163"/>
      <c r="M44" s="1163"/>
      <c r="N44" s="1164"/>
    </row>
    <row r="45" spans="2:14" x14ac:dyDescent="0.25">
      <c r="B45" s="1153"/>
      <c r="C45" s="1154"/>
      <c r="D45" s="1154"/>
      <c r="E45" s="1154"/>
      <c r="F45" s="1154"/>
      <c r="G45" s="1155"/>
      <c r="I45" s="1162"/>
      <c r="J45" s="1163"/>
      <c r="K45" s="1163"/>
      <c r="L45" s="1163"/>
      <c r="M45" s="1163"/>
      <c r="N45" s="1164"/>
    </row>
    <row r="46" spans="2:14" x14ac:dyDescent="0.25">
      <c r="B46" s="1153"/>
      <c r="C46" s="1154"/>
      <c r="D46" s="1154"/>
      <c r="E46" s="1154"/>
      <c r="F46" s="1154"/>
      <c r="G46" s="1155"/>
      <c r="I46" s="1162"/>
      <c r="J46" s="1163"/>
      <c r="K46" s="1163"/>
      <c r="L46" s="1163"/>
      <c r="M46" s="1163"/>
      <c r="N46" s="1164"/>
    </row>
    <row r="47" spans="2:14" x14ac:dyDescent="0.25">
      <c r="B47" s="1153"/>
      <c r="C47" s="1154"/>
      <c r="D47" s="1154"/>
      <c r="E47" s="1154"/>
      <c r="F47" s="1154"/>
      <c r="G47" s="1155"/>
      <c r="I47" s="1162"/>
      <c r="J47" s="1163"/>
      <c r="K47" s="1163"/>
      <c r="L47" s="1163"/>
      <c r="M47" s="1163"/>
      <c r="N47" s="1164"/>
    </row>
    <row r="48" spans="2:14" x14ac:dyDescent="0.25">
      <c r="B48" s="1153"/>
      <c r="C48" s="1154"/>
      <c r="D48" s="1154"/>
      <c r="E48" s="1154"/>
      <c r="F48" s="1154"/>
      <c r="G48" s="1155"/>
      <c r="I48" s="1162"/>
      <c r="J48" s="1163"/>
      <c r="K48" s="1163"/>
      <c r="L48" s="1163"/>
      <c r="M48" s="1163"/>
      <c r="N48" s="1164"/>
    </row>
    <row r="49" spans="2:14" x14ac:dyDescent="0.25">
      <c r="B49" s="1153"/>
      <c r="C49" s="1154"/>
      <c r="D49" s="1154"/>
      <c r="E49" s="1154"/>
      <c r="F49" s="1154"/>
      <c r="G49" s="1155"/>
      <c r="I49" s="1162"/>
      <c r="J49" s="1163"/>
      <c r="K49" s="1163"/>
      <c r="L49" s="1163"/>
      <c r="M49" s="1163"/>
      <c r="N49" s="1164"/>
    </row>
    <row r="50" spans="2:14" x14ac:dyDescent="0.25">
      <c r="B50" s="1153"/>
      <c r="C50" s="1154"/>
      <c r="D50" s="1154"/>
      <c r="E50" s="1154"/>
      <c r="F50" s="1154"/>
      <c r="G50" s="1155"/>
      <c r="I50" s="1162"/>
      <c r="J50" s="1163"/>
      <c r="K50" s="1163"/>
      <c r="L50" s="1163"/>
      <c r="M50" s="1163"/>
      <c r="N50" s="1164"/>
    </row>
    <row r="51" spans="2:14" x14ac:dyDescent="0.25">
      <c r="B51" s="1156"/>
      <c r="C51" s="1157"/>
      <c r="D51" s="1157"/>
      <c r="E51" s="1157"/>
      <c r="F51" s="1157"/>
      <c r="G51" s="1158"/>
      <c r="I51" s="1165"/>
      <c r="J51" s="1166"/>
      <c r="K51" s="1166"/>
      <c r="L51" s="1166"/>
      <c r="M51" s="1166"/>
      <c r="N51" s="1167"/>
    </row>
  </sheetData>
  <sheetProtection algorithmName="SHA-512" hashValue="DDCZvBhe22OTqp/d3sRwxLdZT2gchCLEb/hC5lYDzo5mt+QL745uFGc8C2MCY+YacICXFaM/W2QOVWBfFeWqdg==" saltValue="IeXmqyV00uNr82lDm/kZ9A==" spinCount="100000" sheet="1" objects="1" scenarios="1"/>
  <mergeCells count="16">
    <mergeCell ref="D1:G1"/>
    <mergeCell ref="D3:E3"/>
    <mergeCell ref="F3:G3"/>
    <mergeCell ref="K3:L3"/>
    <mergeCell ref="M3:N3"/>
    <mergeCell ref="B2:G2"/>
    <mergeCell ref="I2:N2"/>
    <mergeCell ref="I3:I4"/>
    <mergeCell ref="J3:J4"/>
    <mergeCell ref="B3:B4"/>
    <mergeCell ref="C3:C4"/>
    <mergeCell ref="B34:G35"/>
    <mergeCell ref="I34:N35"/>
    <mergeCell ref="B36:G39"/>
    <mergeCell ref="B40:G51"/>
    <mergeCell ref="I36:N5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704"/>
  <sheetViews>
    <sheetView workbookViewId="0">
      <selection activeCell="C16" sqref="C16"/>
    </sheetView>
  </sheetViews>
  <sheetFormatPr baseColWidth="10" defaultColWidth="11.42578125" defaultRowHeight="15" x14ac:dyDescent="0.25"/>
  <cols>
    <col min="1" max="1" width="36.140625" bestFit="1" customWidth="1"/>
    <col min="2" max="2" width="46.7109375" bestFit="1" customWidth="1"/>
    <col min="3" max="3" width="26.7109375" bestFit="1" customWidth="1"/>
  </cols>
  <sheetData>
    <row r="1" spans="1:3" ht="15" customHeight="1" x14ac:dyDescent="0.25">
      <c r="A1" s="691" t="s">
        <v>924</v>
      </c>
      <c r="B1" s="691"/>
      <c r="C1" s="691"/>
    </row>
    <row r="2" spans="1:3" ht="15" customHeight="1" x14ac:dyDescent="0.25">
      <c r="A2" s="434"/>
      <c r="B2" s="434"/>
      <c r="C2" s="434"/>
    </row>
    <row r="3" spans="1:3" ht="34.5" customHeight="1" x14ac:dyDescent="0.25">
      <c r="A3" s="1185" t="s">
        <v>925</v>
      </c>
      <c r="B3" s="1185"/>
      <c r="C3" s="1185"/>
    </row>
    <row r="5" spans="1:3" x14ac:dyDescent="0.25">
      <c r="A5" t="s">
        <v>926</v>
      </c>
      <c r="B5" t="s">
        <v>927</v>
      </c>
      <c r="C5" t="s">
        <v>928</v>
      </c>
    </row>
    <row r="6" spans="1:3" x14ac:dyDescent="0.25">
      <c r="A6" t="s">
        <v>929</v>
      </c>
      <c r="B6" t="s">
        <v>856</v>
      </c>
      <c r="C6" t="s">
        <v>930</v>
      </c>
    </row>
    <row r="7" spans="1:3" x14ac:dyDescent="0.25">
      <c r="A7" t="s">
        <v>931</v>
      </c>
      <c r="B7" t="s">
        <v>856</v>
      </c>
      <c r="C7" t="s">
        <v>932</v>
      </c>
    </row>
    <row r="8" spans="1:3" x14ac:dyDescent="0.25">
      <c r="A8" t="s">
        <v>933</v>
      </c>
      <c r="B8" t="s">
        <v>856</v>
      </c>
      <c r="C8" t="s">
        <v>934</v>
      </c>
    </row>
    <row r="9" spans="1:3" x14ac:dyDescent="0.25">
      <c r="A9" t="s">
        <v>935</v>
      </c>
      <c r="B9" t="s">
        <v>856</v>
      </c>
      <c r="C9" t="s">
        <v>936</v>
      </c>
    </row>
    <row r="10" spans="1:3" x14ac:dyDescent="0.25">
      <c r="A10" t="s">
        <v>937</v>
      </c>
      <c r="B10" t="s">
        <v>856</v>
      </c>
      <c r="C10" t="s">
        <v>938</v>
      </c>
    </row>
    <row r="11" spans="1:3" x14ac:dyDescent="0.25">
      <c r="A11" t="s">
        <v>939</v>
      </c>
      <c r="B11" t="s">
        <v>856</v>
      </c>
      <c r="C11" t="s">
        <v>940</v>
      </c>
    </row>
    <row r="12" spans="1:3" x14ac:dyDescent="0.25">
      <c r="A12" t="s">
        <v>941</v>
      </c>
      <c r="B12" t="s">
        <v>856</v>
      </c>
      <c r="C12" t="s">
        <v>942</v>
      </c>
    </row>
    <row r="13" spans="1:3" x14ac:dyDescent="0.25">
      <c r="A13" t="s">
        <v>943</v>
      </c>
      <c r="B13" t="s">
        <v>856</v>
      </c>
      <c r="C13" t="s">
        <v>944</v>
      </c>
    </row>
    <row r="14" spans="1:3" x14ac:dyDescent="0.25">
      <c r="A14" t="s">
        <v>945</v>
      </c>
      <c r="B14" t="s">
        <v>857</v>
      </c>
      <c r="C14" t="s">
        <v>946</v>
      </c>
    </row>
    <row r="15" spans="1:3" x14ac:dyDescent="0.25">
      <c r="A15" t="s">
        <v>947</v>
      </c>
      <c r="B15" t="s">
        <v>856</v>
      </c>
      <c r="C15" t="s">
        <v>948</v>
      </c>
    </row>
    <row r="16" spans="1:3" x14ac:dyDescent="0.25">
      <c r="A16" t="s">
        <v>949</v>
      </c>
      <c r="B16" t="s">
        <v>856</v>
      </c>
      <c r="C16" t="s">
        <v>950</v>
      </c>
    </row>
    <row r="17" spans="1:3" x14ac:dyDescent="0.25">
      <c r="A17" t="s">
        <v>951</v>
      </c>
      <c r="B17" t="s">
        <v>857</v>
      </c>
      <c r="C17" t="s">
        <v>952</v>
      </c>
    </row>
    <row r="18" spans="1:3" x14ac:dyDescent="0.25">
      <c r="A18" t="s">
        <v>953</v>
      </c>
      <c r="B18" t="s">
        <v>856</v>
      </c>
      <c r="C18" t="s">
        <v>954</v>
      </c>
    </row>
    <row r="19" spans="1:3" x14ac:dyDescent="0.25">
      <c r="A19" t="s">
        <v>955</v>
      </c>
      <c r="B19" t="s">
        <v>856</v>
      </c>
      <c r="C19" t="s">
        <v>956</v>
      </c>
    </row>
    <row r="20" spans="1:3" x14ac:dyDescent="0.25">
      <c r="A20" t="s">
        <v>957</v>
      </c>
      <c r="B20" t="s">
        <v>856</v>
      </c>
      <c r="C20" t="s">
        <v>958</v>
      </c>
    </row>
    <row r="21" spans="1:3" x14ac:dyDescent="0.25">
      <c r="A21" t="s">
        <v>959</v>
      </c>
      <c r="B21" t="s">
        <v>856</v>
      </c>
      <c r="C21" t="s">
        <v>960</v>
      </c>
    </row>
    <row r="22" spans="1:3" x14ac:dyDescent="0.25">
      <c r="A22" t="s">
        <v>961</v>
      </c>
      <c r="B22" t="s">
        <v>856</v>
      </c>
      <c r="C22" t="s">
        <v>962</v>
      </c>
    </row>
    <row r="23" spans="1:3" x14ac:dyDescent="0.25">
      <c r="A23" t="s">
        <v>963</v>
      </c>
      <c r="B23" t="s">
        <v>856</v>
      </c>
      <c r="C23" t="s">
        <v>964</v>
      </c>
    </row>
    <row r="24" spans="1:3" x14ac:dyDescent="0.25">
      <c r="A24" t="s">
        <v>965</v>
      </c>
      <c r="B24" t="s">
        <v>856</v>
      </c>
      <c r="C24" t="s">
        <v>966</v>
      </c>
    </row>
    <row r="25" spans="1:3" x14ac:dyDescent="0.25">
      <c r="A25" t="s">
        <v>967</v>
      </c>
      <c r="B25" t="s">
        <v>856</v>
      </c>
      <c r="C25" t="s">
        <v>968</v>
      </c>
    </row>
    <row r="26" spans="1:3" x14ac:dyDescent="0.25">
      <c r="A26" t="s">
        <v>969</v>
      </c>
      <c r="B26" t="s">
        <v>856</v>
      </c>
      <c r="C26" t="s">
        <v>970</v>
      </c>
    </row>
    <row r="27" spans="1:3" x14ac:dyDescent="0.25">
      <c r="A27" t="s">
        <v>971</v>
      </c>
      <c r="B27" t="s">
        <v>856</v>
      </c>
      <c r="C27" t="s">
        <v>972</v>
      </c>
    </row>
    <row r="28" spans="1:3" x14ac:dyDescent="0.25">
      <c r="A28" t="s">
        <v>973</v>
      </c>
      <c r="B28" t="s">
        <v>856</v>
      </c>
      <c r="C28" t="s">
        <v>974</v>
      </c>
    </row>
    <row r="29" spans="1:3" x14ac:dyDescent="0.25">
      <c r="A29" t="s">
        <v>975</v>
      </c>
      <c r="B29" t="s">
        <v>857</v>
      </c>
      <c r="C29" t="s">
        <v>976</v>
      </c>
    </row>
    <row r="30" spans="1:3" x14ac:dyDescent="0.25">
      <c r="A30" t="s">
        <v>977</v>
      </c>
      <c r="B30" t="s">
        <v>857</v>
      </c>
      <c r="C30" t="s">
        <v>978</v>
      </c>
    </row>
    <row r="31" spans="1:3" x14ac:dyDescent="0.25">
      <c r="A31" t="s">
        <v>979</v>
      </c>
      <c r="B31" t="s">
        <v>856</v>
      </c>
      <c r="C31" t="s">
        <v>980</v>
      </c>
    </row>
    <row r="32" spans="1:3" x14ac:dyDescent="0.25">
      <c r="A32" t="s">
        <v>981</v>
      </c>
      <c r="B32" t="s">
        <v>856</v>
      </c>
      <c r="C32" t="s">
        <v>982</v>
      </c>
    </row>
    <row r="33" spans="1:3" x14ac:dyDescent="0.25">
      <c r="A33" t="s">
        <v>983</v>
      </c>
      <c r="B33" t="s">
        <v>856</v>
      </c>
      <c r="C33" t="s">
        <v>984</v>
      </c>
    </row>
    <row r="34" spans="1:3" x14ac:dyDescent="0.25">
      <c r="A34" t="s">
        <v>985</v>
      </c>
      <c r="B34" t="s">
        <v>856</v>
      </c>
      <c r="C34" t="s">
        <v>986</v>
      </c>
    </row>
    <row r="35" spans="1:3" x14ac:dyDescent="0.25">
      <c r="A35" t="s">
        <v>987</v>
      </c>
      <c r="B35" t="s">
        <v>856</v>
      </c>
      <c r="C35" t="s">
        <v>988</v>
      </c>
    </row>
    <row r="36" spans="1:3" x14ac:dyDescent="0.25">
      <c r="A36" t="s">
        <v>989</v>
      </c>
      <c r="B36" t="s">
        <v>856</v>
      </c>
      <c r="C36" t="s">
        <v>990</v>
      </c>
    </row>
    <row r="37" spans="1:3" x14ac:dyDescent="0.25">
      <c r="A37" t="s">
        <v>991</v>
      </c>
      <c r="B37" t="s">
        <v>857</v>
      </c>
      <c r="C37" t="s">
        <v>992</v>
      </c>
    </row>
    <row r="38" spans="1:3" x14ac:dyDescent="0.25">
      <c r="A38" t="s">
        <v>993</v>
      </c>
      <c r="B38" t="s">
        <v>856</v>
      </c>
      <c r="C38" t="s">
        <v>994</v>
      </c>
    </row>
    <row r="39" spans="1:3" x14ac:dyDescent="0.25">
      <c r="A39" t="s">
        <v>995</v>
      </c>
      <c r="B39" t="s">
        <v>857</v>
      </c>
      <c r="C39" t="s">
        <v>996</v>
      </c>
    </row>
    <row r="40" spans="1:3" x14ac:dyDescent="0.25">
      <c r="A40" t="s">
        <v>997</v>
      </c>
      <c r="B40" t="s">
        <v>856</v>
      </c>
      <c r="C40" t="s">
        <v>998</v>
      </c>
    </row>
    <row r="41" spans="1:3" x14ac:dyDescent="0.25">
      <c r="A41" t="s">
        <v>999</v>
      </c>
      <c r="B41" t="s">
        <v>856</v>
      </c>
      <c r="C41" t="s">
        <v>1000</v>
      </c>
    </row>
    <row r="42" spans="1:3" x14ac:dyDescent="0.25">
      <c r="A42" t="s">
        <v>1001</v>
      </c>
      <c r="B42" t="s">
        <v>856</v>
      </c>
      <c r="C42" t="s">
        <v>1002</v>
      </c>
    </row>
    <row r="43" spans="1:3" x14ac:dyDescent="0.25">
      <c r="A43" t="s">
        <v>1003</v>
      </c>
      <c r="B43" t="s">
        <v>857</v>
      </c>
      <c r="C43" t="s">
        <v>1004</v>
      </c>
    </row>
    <row r="44" spans="1:3" x14ac:dyDescent="0.25">
      <c r="A44" t="s">
        <v>1005</v>
      </c>
      <c r="B44" t="s">
        <v>857</v>
      </c>
      <c r="C44" t="s">
        <v>1006</v>
      </c>
    </row>
    <row r="45" spans="1:3" x14ac:dyDescent="0.25">
      <c r="A45" t="s">
        <v>1007</v>
      </c>
      <c r="B45" t="s">
        <v>857</v>
      </c>
      <c r="C45" t="s">
        <v>1008</v>
      </c>
    </row>
    <row r="46" spans="1:3" x14ac:dyDescent="0.25">
      <c r="A46" t="s">
        <v>1009</v>
      </c>
      <c r="B46" t="s">
        <v>856</v>
      </c>
      <c r="C46" t="s">
        <v>1010</v>
      </c>
    </row>
    <row r="47" spans="1:3" x14ac:dyDescent="0.25">
      <c r="A47" t="s">
        <v>1011</v>
      </c>
      <c r="B47" t="s">
        <v>856</v>
      </c>
      <c r="C47" t="s">
        <v>1012</v>
      </c>
    </row>
    <row r="48" spans="1:3" x14ac:dyDescent="0.25">
      <c r="A48" t="s">
        <v>1013</v>
      </c>
      <c r="B48" t="s">
        <v>856</v>
      </c>
      <c r="C48" t="s">
        <v>1014</v>
      </c>
    </row>
    <row r="49" spans="1:3" x14ac:dyDescent="0.25">
      <c r="A49" t="s">
        <v>1015</v>
      </c>
      <c r="B49" t="s">
        <v>856</v>
      </c>
      <c r="C49" t="s">
        <v>1016</v>
      </c>
    </row>
    <row r="50" spans="1:3" x14ac:dyDescent="0.25">
      <c r="A50" t="s">
        <v>1017</v>
      </c>
      <c r="B50" t="s">
        <v>857</v>
      </c>
      <c r="C50" t="s">
        <v>1018</v>
      </c>
    </row>
    <row r="51" spans="1:3" x14ac:dyDescent="0.25">
      <c r="A51" t="s">
        <v>1019</v>
      </c>
      <c r="B51" t="s">
        <v>856</v>
      </c>
      <c r="C51" t="s">
        <v>1020</v>
      </c>
    </row>
    <row r="52" spans="1:3" x14ac:dyDescent="0.25">
      <c r="A52" t="s">
        <v>1021</v>
      </c>
      <c r="B52" t="s">
        <v>856</v>
      </c>
      <c r="C52" t="s">
        <v>1022</v>
      </c>
    </row>
    <row r="53" spans="1:3" x14ac:dyDescent="0.25">
      <c r="A53" t="s">
        <v>1023</v>
      </c>
      <c r="B53" t="s">
        <v>856</v>
      </c>
      <c r="C53" t="s">
        <v>1024</v>
      </c>
    </row>
    <row r="54" spans="1:3" x14ac:dyDescent="0.25">
      <c r="A54" t="s">
        <v>1025</v>
      </c>
      <c r="B54" t="s">
        <v>856</v>
      </c>
      <c r="C54" t="s">
        <v>1026</v>
      </c>
    </row>
    <row r="55" spans="1:3" x14ac:dyDescent="0.25">
      <c r="A55" t="s">
        <v>1027</v>
      </c>
      <c r="B55" t="s">
        <v>857</v>
      </c>
      <c r="C55" t="s">
        <v>1028</v>
      </c>
    </row>
    <row r="56" spans="1:3" x14ac:dyDescent="0.25">
      <c r="A56" t="s">
        <v>1029</v>
      </c>
      <c r="B56" t="s">
        <v>857</v>
      </c>
      <c r="C56" t="s">
        <v>1030</v>
      </c>
    </row>
    <row r="57" spans="1:3" x14ac:dyDescent="0.25">
      <c r="A57" t="s">
        <v>1031</v>
      </c>
      <c r="B57" t="s">
        <v>856</v>
      </c>
      <c r="C57" t="s">
        <v>1032</v>
      </c>
    </row>
    <row r="58" spans="1:3" x14ac:dyDescent="0.25">
      <c r="A58" t="s">
        <v>1033</v>
      </c>
      <c r="B58" t="s">
        <v>856</v>
      </c>
      <c r="C58" t="s">
        <v>1034</v>
      </c>
    </row>
    <row r="59" spans="1:3" x14ac:dyDescent="0.25">
      <c r="A59" t="s">
        <v>1035</v>
      </c>
      <c r="B59" t="s">
        <v>856</v>
      </c>
      <c r="C59" t="s">
        <v>1036</v>
      </c>
    </row>
    <row r="60" spans="1:3" x14ac:dyDescent="0.25">
      <c r="A60" t="s">
        <v>1037</v>
      </c>
      <c r="B60" t="s">
        <v>856</v>
      </c>
      <c r="C60" t="s">
        <v>1038</v>
      </c>
    </row>
    <row r="61" spans="1:3" x14ac:dyDescent="0.25">
      <c r="A61" t="s">
        <v>1039</v>
      </c>
      <c r="B61" t="s">
        <v>856</v>
      </c>
      <c r="C61" t="s">
        <v>1040</v>
      </c>
    </row>
    <row r="62" spans="1:3" x14ac:dyDescent="0.25">
      <c r="A62" t="s">
        <v>1041</v>
      </c>
      <c r="B62" t="s">
        <v>856</v>
      </c>
      <c r="C62" t="s">
        <v>1042</v>
      </c>
    </row>
    <row r="63" spans="1:3" x14ac:dyDescent="0.25">
      <c r="A63" t="s">
        <v>1043</v>
      </c>
      <c r="B63" t="s">
        <v>856</v>
      </c>
      <c r="C63" t="s">
        <v>1044</v>
      </c>
    </row>
    <row r="64" spans="1:3" x14ac:dyDescent="0.25">
      <c r="A64" t="s">
        <v>1045</v>
      </c>
      <c r="B64" t="s">
        <v>856</v>
      </c>
      <c r="C64" t="s">
        <v>1046</v>
      </c>
    </row>
    <row r="65" spans="1:3" x14ac:dyDescent="0.25">
      <c r="A65" t="s">
        <v>1047</v>
      </c>
      <c r="B65" t="s">
        <v>857</v>
      </c>
      <c r="C65" t="s">
        <v>1048</v>
      </c>
    </row>
    <row r="66" spans="1:3" x14ac:dyDescent="0.25">
      <c r="A66" t="s">
        <v>1049</v>
      </c>
      <c r="B66" t="s">
        <v>857</v>
      </c>
      <c r="C66" t="s">
        <v>1050</v>
      </c>
    </row>
    <row r="67" spans="1:3" x14ac:dyDescent="0.25">
      <c r="A67" t="s">
        <v>1051</v>
      </c>
      <c r="B67" t="s">
        <v>856</v>
      </c>
      <c r="C67" t="s">
        <v>1052</v>
      </c>
    </row>
    <row r="68" spans="1:3" x14ac:dyDescent="0.25">
      <c r="A68" t="s">
        <v>1053</v>
      </c>
      <c r="B68" t="s">
        <v>856</v>
      </c>
      <c r="C68" t="s">
        <v>1054</v>
      </c>
    </row>
    <row r="69" spans="1:3" x14ac:dyDescent="0.25">
      <c r="A69" t="s">
        <v>1055</v>
      </c>
      <c r="B69" t="s">
        <v>857</v>
      </c>
      <c r="C69" t="s">
        <v>1056</v>
      </c>
    </row>
    <row r="70" spans="1:3" x14ac:dyDescent="0.25">
      <c r="A70" t="s">
        <v>1057</v>
      </c>
      <c r="B70" t="s">
        <v>857</v>
      </c>
      <c r="C70" t="s">
        <v>1058</v>
      </c>
    </row>
    <row r="71" spans="1:3" x14ac:dyDescent="0.25">
      <c r="A71" t="s">
        <v>1059</v>
      </c>
      <c r="B71" t="s">
        <v>856</v>
      </c>
      <c r="C71" t="s">
        <v>1060</v>
      </c>
    </row>
    <row r="72" spans="1:3" x14ac:dyDescent="0.25">
      <c r="A72" t="s">
        <v>1061</v>
      </c>
      <c r="B72" t="s">
        <v>856</v>
      </c>
      <c r="C72" t="s">
        <v>1062</v>
      </c>
    </row>
    <row r="73" spans="1:3" x14ac:dyDescent="0.25">
      <c r="A73" t="s">
        <v>1063</v>
      </c>
      <c r="B73" t="s">
        <v>857</v>
      </c>
      <c r="C73" t="s">
        <v>1064</v>
      </c>
    </row>
    <row r="74" spans="1:3" x14ac:dyDescent="0.25">
      <c r="A74" t="s">
        <v>1065</v>
      </c>
      <c r="B74" t="s">
        <v>857</v>
      </c>
      <c r="C74" t="s">
        <v>1066</v>
      </c>
    </row>
    <row r="75" spans="1:3" x14ac:dyDescent="0.25">
      <c r="A75" t="s">
        <v>1067</v>
      </c>
      <c r="B75" t="s">
        <v>856</v>
      </c>
      <c r="C75" t="s">
        <v>1068</v>
      </c>
    </row>
    <row r="76" spans="1:3" x14ac:dyDescent="0.25">
      <c r="A76" t="s">
        <v>1069</v>
      </c>
      <c r="B76" t="s">
        <v>857</v>
      </c>
      <c r="C76" t="s">
        <v>1070</v>
      </c>
    </row>
    <row r="77" spans="1:3" x14ac:dyDescent="0.25">
      <c r="A77" t="s">
        <v>1071</v>
      </c>
      <c r="B77" t="s">
        <v>856</v>
      </c>
      <c r="C77" t="s">
        <v>1072</v>
      </c>
    </row>
    <row r="78" spans="1:3" x14ac:dyDescent="0.25">
      <c r="A78" t="s">
        <v>1073</v>
      </c>
      <c r="B78" t="s">
        <v>856</v>
      </c>
      <c r="C78" t="s">
        <v>1074</v>
      </c>
    </row>
    <row r="79" spans="1:3" x14ac:dyDescent="0.25">
      <c r="A79" t="s">
        <v>1075</v>
      </c>
      <c r="B79" t="s">
        <v>856</v>
      </c>
      <c r="C79" t="s">
        <v>1076</v>
      </c>
    </row>
    <row r="80" spans="1:3" x14ac:dyDescent="0.25">
      <c r="A80" t="s">
        <v>1077</v>
      </c>
      <c r="B80" t="s">
        <v>856</v>
      </c>
      <c r="C80" t="s">
        <v>1078</v>
      </c>
    </row>
    <row r="81" spans="1:3" x14ac:dyDescent="0.25">
      <c r="A81" t="s">
        <v>1079</v>
      </c>
      <c r="B81" t="s">
        <v>856</v>
      </c>
      <c r="C81" t="s">
        <v>1080</v>
      </c>
    </row>
    <row r="82" spans="1:3" x14ac:dyDescent="0.25">
      <c r="A82" t="s">
        <v>1081</v>
      </c>
      <c r="B82" t="s">
        <v>857</v>
      </c>
      <c r="C82" t="s">
        <v>1082</v>
      </c>
    </row>
    <row r="83" spans="1:3" x14ac:dyDescent="0.25">
      <c r="A83" t="s">
        <v>1083</v>
      </c>
      <c r="B83" t="s">
        <v>856</v>
      </c>
      <c r="C83" t="s">
        <v>1084</v>
      </c>
    </row>
    <row r="84" spans="1:3" x14ac:dyDescent="0.25">
      <c r="A84" t="s">
        <v>1085</v>
      </c>
      <c r="B84" t="s">
        <v>856</v>
      </c>
      <c r="C84" t="s">
        <v>1086</v>
      </c>
    </row>
    <row r="85" spans="1:3" x14ac:dyDescent="0.25">
      <c r="A85" t="s">
        <v>1087</v>
      </c>
      <c r="B85" t="s">
        <v>856</v>
      </c>
      <c r="C85" t="s">
        <v>1088</v>
      </c>
    </row>
    <row r="86" spans="1:3" x14ac:dyDescent="0.25">
      <c r="A86" t="s">
        <v>1089</v>
      </c>
      <c r="B86" t="s">
        <v>856</v>
      </c>
      <c r="C86" t="s">
        <v>1090</v>
      </c>
    </row>
    <row r="87" spans="1:3" x14ac:dyDescent="0.25">
      <c r="A87" t="s">
        <v>1091</v>
      </c>
      <c r="B87" t="s">
        <v>856</v>
      </c>
      <c r="C87" t="s">
        <v>1092</v>
      </c>
    </row>
    <row r="88" spans="1:3" x14ac:dyDescent="0.25">
      <c r="A88" t="s">
        <v>1093</v>
      </c>
      <c r="B88" t="s">
        <v>856</v>
      </c>
      <c r="C88" t="s">
        <v>1094</v>
      </c>
    </row>
    <row r="89" spans="1:3" x14ac:dyDescent="0.25">
      <c r="A89" t="s">
        <v>1095</v>
      </c>
      <c r="B89" t="s">
        <v>857</v>
      </c>
      <c r="C89" t="s">
        <v>1096</v>
      </c>
    </row>
    <row r="90" spans="1:3" x14ac:dyDescent="0.25">
      <c r="A90" t="s">
        <v>1097</v>
      </c>
      <c r="B90" t="s">
        <v>856</v>
      </c>
      <c r="C90" t="s">
        <v>1098</v>
      </c>
    </row>
    <row r="91" spans="1:3" x14ac:dyDescent="0.25">
      <c r="A91" t="s">
        <v>1099</v>
      </c>
      <c r="B91" t="s">
        <v>857</v>
      </c>
      <c r="C91" t="s">
        <v>1100</v>
      </c>
    </row>
    <row r="92" spans="1:3" x14ac:dyDescent="0.25">
      <c r="A92" t="s">
        <v>1101</v>
      </c>
      <c r="B92" t="s">
        <v>856</v>
      </c>
      <c r="C92" t="s">
        <v>1102</v>
      </c>
    </row>
    <row r="93" spans="1:3" x14ac:dyDescent="0.25">
      <c r="A93" t="s">
        <v>1103</v>
      </c>
      <c r="B93" t="s">
        <v>856</v>
      </c>
      <c r="C93" t="s">
        <v>1104</v>
      </c>
    </row>
    <row r="94" spans="1:3" x14ac:dyDescent="0.25">
      <c r="A94" t="s">
        <v>1105</v>
      </c>
      <c r="B94" t="s">
        <v>856</v>
      </c>
      <c r="C94" t="s">
        <v>1106</v>
      </c>
    </row>
    <row r="95" spans="1:3" x14ac:dyDescent="0.25">
      <c r="A95" t="s">
        <v>1107</v>
      </c>
      <c r="B95" t="s">
        <v>856</v>
      </c>
      <c r="C95" t="s">
        <v>1108</v>
      </c>
    </row>
    <row r="96" spans="1:3" x14ac:dyDescent="0.25">
      <c r="A96" t="s">
        <v>1109</v>
      </c>
      <c r="B96" t="s">
        <v>857</v>
      </c>
      <c r="C96" t="s">
        <v>1110</v>
      </c>
    </row>
    <row r="97" spans="1:3" x14ac:dyDescent="0.25">
      <c r="A97" t="s">
        <v>1111</v>
      </c>
      <c r="B97" t="s">
        <v>856</v>
      </c>
      <c r="C97" t="s">
        <v>1112</v>
      </c>
    </row>
    <row r="98" spans="1:3" x14ac:dyDescent="0.25">
      <c r="A98" t="s">
        <v>1113</v>
      </c>
      <c r="B98" t="s">
        <v>856</v>
      </c>
      <c r="C98" t="s">
        <v>1114</v>
      </c>
    </row>
    <row r="99" spans="1:3" x14ac:dyDescent="0.25">
      <c r="A99" t="s">
        <v>1115</v>
      </c>
      <c r="B99" t="s">
        <v>856</v>
      </c>
      <c r="C99" t="s">
        <v>1116</v>
      </c>
    </row>
    <row r="100" spans="1:3" x14ac:dyDescent="0.25">
      <c r="A100" t="s">
        <v>1117</v>
      </c>
      <c r="B100" t="s">
        <v>856</v>
      </c>
      <c r="C100" t="s">
        <v>1118</v>
      </c>
    </row>
    <row r="101" spans="1:3" x14ac:dyDescent="0.25">
      <c r="A101" t="s">
        <v>1119</v>
      </c>
      <c r="B101" t="s">
        <v>857</v>
      </c>
      <c r="C101" t="s">
        <v>1120</v>
      </c>
    </row>
    <row r="102" spans="1:3" x14ac:dyDescent="0.25">
      <c r="A102" t="s">
        <v>1121</v>
      </c>
      <c r="B102" t="s">
        <v>856</v>
      </c>
      <c r="C102" t="s">
        <v>1122</v>
      </c>
    </row>
    <row r="103" spans="1:3" x14ac:dyDescent="0.25">
      <c r="A103" t="s">
        <v>1123</v>
      </c>
      <c r="B103" t="s">
        <v>856</v>
      </c>
      <c r="C103" t="s">
        <v>1124</v>
      </c>
    </row>
    <row r="104" spans="1:3" x14ac:dyDescent="0.25">
      <c r="A104" t="s">
        <v>1125</v>
      </c>
      <c r="B104" t="s">
        <v>857</v>
      </c>
      <c r="C104" t="s">
        <v>1126</v>
      </c>
    </row>
    <row r="105" spans="1:3" x14ac:dyDescent="0.25">
      <c r="A105" t="s">
        <v>1127</v>
      </c>
      <c r="B105" t="s">
        <v>857</v>
      </c>
      <c r="C105" t="s">
        <v>1128</v>
      </c>
    </row>
    <row r="106" spans="1:3" x14ac:dyDescent="0.25">
      <c r="A106" t="s">
        <v>56</v>
      </c>
      <c r="B106" t="s">
        <v>856</v>
      </c>
      <c r="C106" t="s">
        <v>1129</v>
      </c>
    </row>
    <row r="107" spans="1:3" x14ac:dyDescent="0.25">
      <c r="A107" t="s">
        <v>1130</v>
      </c>
      <c r="B107" t="s">
        <v>856</v>
      </c>
      <c r="C107" t="s">
        <v>1131</v>
      </c>
    </row>
    <row r="108" spans="1:3" x14ac:dyDescent="0.25">
      <c r="A108" t="s">
        <v>1132</v>
      </c>
      <c r="B108" t="s">
        <v>857</v>
      </c>
      <c r="C108" t="s">
        <v>1133</v>
      </c>
    </row>
    <row r="109" spans="1:3" x14ac:dyDescent="0.25">
      <c r="A109" t="s">
        <v>1134</v>
      </c>
      <c r="B109" t="s">
        <v>856</v>
      </c>
      <c r="C109" t="s">
        <v>1135</v>
      </c>
    </row>
    <row r="110" spans="1:3" x14ac:dyDescent="0.25">
      <c r="A110" t="s">
        <v>1136</v>
      </c>
      <c r="B110" t="s">
        <v>856</v>
      </c>
      <c r="C110" t="s">
        <v>1137</v>
      </c>
    </row>
    <row r="111" spans="1:3" x14ac:dyDescent="0.25">
      <c r="A111" t="s">
        <v>1138</v>
      </c>
      <c r="B111" t="s">
        <v>856</v>
      </c>
      <c r="C111" t="s">
        <v>1139</v>
      </c>
    </row>
    <row r="112" spans="1:3" x14ac:dyDescent="0.25">
      <c r="A112" t="s">
        <v>1140</v>
      </c>
      <c r="B112" t="s">
        <v>857</v>
      </c>
      <c r="C112" t="s">
        <v>1141</v>
      </c>
    </row>
    <row r="113" spans="1:3" x14ac:dyDescent="0.25">
      <c r="A113" t="s">
        <v>1142</v>
      </c>
      <c r="B113" t="s">
        <v>856</v>
      </c>
      <c r="C113" t="s">
        <v>1143</v>
      </c>
    </row>
    <row r="114" spans="1:3" x14ac:dyDescent="0.25">
      <c r="A114" t="s">
        <v>1144</v>
      </c>
      <c r="B114" t="s">
        <v>856</v>
      </c>
      <c r="C114" t="s">
        <v>1145</v>
      </c>
    </row>
    <row r="115" spans="1:3" x14ac:dyDescent="0.25">
      <c r="A115" t="s">
        <v>1146</v>
      </c>
      <c r="B115" t="s">
        <v>856</v>
      </c>
      <c r="C115" t="s">
        <v>1147</v>
      </c>
    </row>
    <row r="116" spans="1:3" x14ac:dyDescent="0.25">
      <c r="A116" t="s">
        <v>1148</v>
      </c>
      <c r="B116" t="s">
        <v>856</v>
      </c>
      <c r="C116" t="s">
        <v>1149</v>
      </c>
    </row>
    <row r="117" spans="1:3" x14ac:dyDescent="0.25">
      <c r="A117" t="s">
        <v>1150</v>
      </c>
      <c r="B117" t="s">
        <v>856</v>
      </c>
      <c r="C117" t="s">
        <v>1151</v>
      </c>
    </row>
    <row r="118" spans="1:3" x14ac:dyDescent="0.25">
      <c r="A118" t="s">
        <v>1152</v>
      </c>
      <c r="B118" t="s">
        <v>856</v>
      </c>
      <c r="C118" t="s">
        <v>1153</v>
      </c>
    </row>
    <row r="119" spans="1:3" x14ac:dyDescent="0.25">
      <c r="A119" t="s">
        <v>1154</v>
      </c>
      <c r="B119" t="s">
        <v>856</v>
      </c>
      <c r="C119" t="s">
        <v>1155</v>
      </c>
    </row>
    <row r="120" spans="1:3" x14ac:dyDescent="0.25">
      <c r="A120" t="s">
        <v>1156</v>
      </c>
      <c r="B120" t="s">
        <v>856</v>
      </c>
      <c r="C120" t="s">
        <v>1157</v>
      </c>
    </row>
    <row r="121" spans="1:3" x14ac:dyDescent="0.25">
      <c r="A121" t="s">
        <v>1158</v>
      </c>
      <c r="B121" t="s">
        <v>856</v>
      </c>
      <c r="C121" t="s">
        <v>1159</v>
      </c>
    </row>
    <row r="122" spans="1:3" x14ac:dyDescent="0.25">
      <c r="A122" t="s">
        <v>1160</v>
      </c>
      <c r="B122" t="s">
        <v>856</v>
      </c>
      <c r="C122" t="s">
        <v>1161</v>
      </c>
    </row>
    <row r="123" spans="1:3" x14ac:dyDescent="0.25">
      <c r="A123" t="s">
        <v>1162</v>
      </c>
      <c r="B123" t="s">
        <v>857</v>
      </c>
      <c r="C123" t="s">
        <v>1163</v>
      </c>
    </row>
    <row r="124" spans="1:3" x14ac:dyDescent="0.25">
      <c r="A124" t="s">
        <v>1164</v>
      </c>
      <c r="B124" t="s">
        <v>856</v>
      </c>
      <c r="C124" t="s">
        <v>1165</v>
      </c>
    </row>
    <row r="125" spans="1:3" x14ac:dyDescent="0.25">
      <c r="A125" t="s">
        <v>1166</v>
      </c>
      <c r="B125" t="s">
        <v>856</v>
      </c>
      <c r="C125" t="s">
        <v>1167</v>
      </c>
    </row>
    <row r="126" spans="1:3" x14ac:dyDescent="0.25">
      <c r="A126" t="s">
        <v>1168</v>
      </c>
      <c r="B126" t="s">
        <v>857</v>
      </c>
      <c r="C126" t="s">
        <v>1169</v>
      </c>
    </row>
    <row r="127" spans="1:3" x14ac:dyDescent="0.25">
      <c r="A127" t="s">
        <v>1170</v>
      </c>
      <c r="B127" t="s">
        <v>856</v>
      </c>
      <c r="C127" t="s">
        <v>1171</v>
      </c>
    </row>
    <row r="128" spans="1:3" x14ac:dyDescent="0.25">
      <c r="A128" t="s">
        <v>1172</v>
      </c>
      <c r="B128" t="s">
        <v>856</v>
      </c>
      <c r="C128" t="s">
        <v>1173</v>
      </c>
    </row>
    <row r="129" spans="1:3" x14ac:dyDescent="0.25">
      <c r="A129" t="s">
        <v>1174</v>
      </c>
      <c r="B129" t="s">
        <v>856</v>
      </c>
      <c r="C129" t="s">
        <v>1175</v>
      </c>
    </row>
    <row r="130" spans="1:3" x14ac:dyDescent="0.25">
      <c r="A130" t="s">
        <v>1176</v>
      </c>
      <c r="B130" t="s">
        <v>856</v>
      </c>
      <c r="C130" t="s">
        <v>1177</v>
      </c>
    </row>
    <row r="131" spans="1:3" x14ac:dyDescent="0.25">
      <c r="A131" t="s">
        <v>1178</v>
      </c>
      <c r="B131" t="s">
        <v>857</v>
      </c>
      <c r="C131" t="s">
        <v>1179</v>
      </c>
    </row>
    <row r="132" spans="1:3" x14ac:dyDescent="0.25">
      <c r="A132" t="s">
        <v>1180</v>
      </c>
      <c r="B132" t="s">
        <v>857</v>
      </c>
      <c r="C132" t="s">
        <v>1181</v>
      </c>
    </row>
    <row r="133" spans="1:3" x14ac:dyDescent="0.25">
      <c r="A133" t="s">
        <v>1182</v>
      </c>
      <c r="B133" t="s">
        <v>857</v>
      </c>
      <c r="C133" t="s">
        <v>1183</v>
      </c>
    </row>
    <row r="134" spans="1:3" x14ac:dyDescent="0.25">
      <c r="A134" t="s">
        <v>1184</v>
      </c>
      <c r="B134" t="s">
        <v>856</v>
      </c>
      <c r="C134" t="s">
        <v>1185</v>
      </c>
    </row>
    <row r="135" spans="1:3" x14ac:dyDescent="0.25">
      <c r="A135" t="s">
        <v>1186</v>
      </c>
      <c r="B135" t="s">
        <v>856</v>
      </c>
      <c r="C135" t="s">
        <v>1187</v>
      </c>
    </row>
    <row r="136" spans="1:3" x14ac:dyDescent="0.25">
      <c r="A136" t="s">
        <v>1188</v>
      </c>
      <c r="B136" t="s">
        <v>856</v>
      </c>
      <c r="C136" t="s">
        <v>1189</v>
      </c>
    </row>
    <row r="137" spans="1:3" x14ac:dyDescent="0.25">
      <c r="A137" t="s">
        <v>1190</v>
      </c>
      <c r="B137" t="s">
        <v>856</v>
      </c>
      <c r="C137" t="s">
        <v>1191</v>
      </c>
    </row>
    <row r="138" spans="1:3" x14ac:dyDescent="0.25">
      <c r="A138" t="s">
        <v>1192</v>
      </c>
      <c r="B138" t="s">
        <v>856</v>
      </c>
      <c r="C138" t="s">
        <v>1193</v>
      </c>
    </row>
    <row r="139" spans="1:3" x14ac:dyDescent="0.25">
      <c r="A139" t="s">
        <v>1194</v>
      </c>
      <c r="B139" t="s">
        <v>857</v>
      </c>
      <c r="C139" t="s">
        <v>1195</v>
      </c>
    </row>
    <row r="140" spans="1:3" x14ac:dyDescent="0.25">
      <c r="A140" t="s">
        <v>1196</v>
      </c>
      <c r="B140" t="s">
        <v>856</v>
      </c>
      <c r="C140" t="s">
        <v>1197</v>
      </c>
    </row>
    <row r="141" spans="1:3" x14ac:dyDescent="0.25">
      <c r="A141" t="s">
        <v>1198</v>
      </c>
      <c r="B141" t="s">
        <v>856</v>
      </c>
      <c r="C141" t="s">
        <v>1199</v>
      </c>
    </row>
    <row r="142" spans="1:3" x14ac:dyDescent="0.25">
      <c r="A142" t="s">
        <v>1200</v>
      </c>
      <c r="B142" t="s">
        <v>856</v>
      </c>
      <c r="C142" t="s">
        <v>1201</v>
      </c>
    </row>
    <row r="143" spans="1:3" x14ac:dyDescent="0.25">
      <c r="A143" t="s">
        <v>1202</v>
      </c>
      <c r="B143" t="s">
        <v>856</v>
      </c>
      <c r="C143" t="s">
        <v>1203</v>
      </c>
    </row>
    <row r="144" spans="1:3" x14ac:dyDescent="0.25">
      <c r="A144" t="s">
        <v>1204</v>
      </c>
      <c r="B144" t="s">
        <v>856</v>
      </c>
      <c r="C144" t="s">
        <v>1205</v>
      </c>
    </row>
    <row r="145" spans="1:3" x14ac:dyDescent="0.25">
      <c r="A145" t="s">
        <v>1206</v>
      </c>
      <c r="B145" t="s">
        <v>856</v>
      </c>
      <c r="C145" t="s">
        <v>1207</v>
      </c>
    </row>
    <row r="146" spans="1:3" x14ac:dyDescent="0.25">
      <c r="A146" t="s">
        <v>1208</v>
      </c>
      <c r="B146" t="s">
        <v>856</v>
      </c>
      <c r="C146" t="s">
        <v>1209</v>
      </c>
    </row>
    <row r="147" spans="1:3" x14ac:dyDescent="0.25">
      <c r="A147" t="s">
        <v>1210</v>
      </c>
      <c r="B147" t="s">
        <v>856</v>
      </c>
      <c r="C147" t="s">
        <v>1211</v>
      </c>
    </row>
    <row r="148" spans="1:3" x14ac:dyDescent="0.25">
      <c r="A148" t="s">
        <v>1212</v>
      </c>
      <c r="B148" t="s">
        <v>857</v>
      </c>
      <c r="C148" t="s">
        <v>1213</v>
      </c>
    </row>
    <row r="149" spans="1:3" x14ac:dyDescent="0.25">
      <c r="A149" t="s">
        <v>1214</v>
      </c>
      <c r="B149" t="s">
        <v>856</v>
      </c>
      <c r="C149" t="s">
        <v>1215</v>
      </c>
    </row>
    <row r="150" spans="1:3" x14ac:dyDescent="0.25">
      <c r="A150" t="s">
        <v>1216</v>
      </c>
      <c r="B150" t="s">
        <v>856</v>
      </c>
      <c r="C150" t="s">
        <v>1217</v>
      </c>
    </row>
    <row r="151" spans="1:3" x14ac:dyDescent="0.25">
      <c r="A151" t="s">
        <v>1218</v>
      </c>
      <c r="B151" t="s">
        <v>856</v>
      </c>
      <c r="C151" t="s">
        <v>1219</v>
      </c>
    </row>
    <row r="152" spans="1:3" x14ac:dyDescent="0.25">
      <c r="A152" t="s">
        <v>1220</v>
      </c>
      <c r="B152" t="s">
        <v>857</v>
      </c>
      <c r="C152" t="s">
        <v>1221</v>
      </c>
    </row>
    <row r="153" spans="1:3" x14ac:dyDescent="0.25">
      <c r="A153" t="s">
        <v>1222</v>
      </c>
      <c r="B153" t="s">
        <v>856</v>
      </c>
      <c r="C153" t="s">
        <v>1223</v>
      </c>
    </row>
    <row r="154" spans="1:3" x14ac:dyDescent="0.25">
      <c r="A154" t="s">
        <v>1224</v>
      </c>
      <c r="B154" t="s">
        <v>857</v>
      </c>
      <c r="C154" t="s">
        <v>1225</v>
      </c>
    </row>
    <row r="155" spans="1:3" x14ac:dyDescent="0.25">
      <c r="A155" t="s">
        <v>1226</v>
      </c>
      <c r="B155" t="s">
        <v>857</v>
      </c>
      <c r="C155" t="s">
        <v>1227</v>
      </c>
    </row>
    <row r="156" spans="1:3" x14ac:dyDescent="0.25">
      <c r="A156" t="s">
        <v>1228</v>
      </c>
      <c r="B156" t="s">
        <v>856</v>
      </c>
      <c r="C156" t="s">
        <v>1229</v>
      </c>
    </row>
    <row r="157" spans="1:3" x14ac:dyDescent="0.25">
      <c r="A157" t="s">
        <v>1230</v>
      </c>
      <c r="B157" t="s">
        <v>856</v>
      </c>
      <c r="C157" t="s">
        <v>1231</v>
      </c>
    </row>
    <row r="158" spans="1:3" x14ac:dyDescent="0.25">
      <c r="A158" t="s">
        <v>1232</v>
      </c>
      <c r="B158" t="s">
        <v>856</v>
      </c>
      <c r="C158" t="s">
        <v>1233</v>
      </c>
    </row>
    <row r="159" spans="1:3" x14ac:dyDescent="0.25">
      <c r="A159" t="s">
        <v>1234</v>
      </c>
      <c r="B159" t="s">
        <v>856</v>
      </c>
      <c r="C159" t="s">
        <v>1235</v>
      </c>
    </row>
    <row r="160" spans="1:3" x14ac:dyDescent="0.25">
      <c r="A160" t="s">
        <v>1236</v>
      </c>
      <c r="B160" t="s">
        <v>856</v>
      </c>
      <c r="C160" t="s">
        <v>1237</v>
      </c>
    </row>
    <row r="161" spans="1:3" x14ac:dyDescent="0.25">
      <c r="A161" t="s">
        <v>1238</v>
      </c>
      <c r="B161" t="s">
        <v>856</v>
      </c>
      <c r="C161" t="s">
        <v>1239</v>
      </c>
    </row>
    <row r="162" spans="1:3" x14ac:dyDescent="0.25">
      <c r="A162" t="s">
        <v>1240</v>
      </c>
      <c r="B162" t="s">
        <v>856</v>
      </c>
      <c r="C162" t="s">
        <v>1241</v>
      </c>
    </row>
    <row r="163" spans="1:3" x14ac:dyDescent="0.25">
      <c r="A163" t="s">
        <v>1242</v>
      </c>
      <c r="B163" t="s">
        <v>856</v>
      </c>
      <c r="C163" t="s">
        <v>1243</v>
      </c>
    </row>
    <row r="164" spans="1:3" x14ac:dyDescent="0.25">
      <c r="A164" t="s">
        <v>1244</v>
      </c>
      <c r="B164" t="s">
        <v>856</v>
      </c>
      <c r="C164" t="s">
        <v>1245</v>
      </c>
    </row>
    <row r="165" spans="1:3" x14ac:dyDescent="0.25">
      <c r="A165" t="s">
        <v>1246</v>
      </c>
      <c r="B165" t="s">
        <v>857</v>
      </c>
      <c r="C165" t="s">
        <v>1247</v>
      </c>
    </row>
    <row r="166" spans="1:3" x14ac:dyDescent="0.25">
      <c r="A166" t="s">
        <v>1248</v>
      </c>
      <c r="B166" t="s">
        <v>856</v>
      </c>
      <c r="C166" t="s">
        <v>1249</v>
      </c>
    </row>
    <row r="167" spans="1:3" x14ac:dyDescent="0.25">
      <c r="A167" t="s">
        <v>1250</v>
      </c>
      <c r="B167" t="s">
        <v>856</v>
      </c>
      <c r="C167" t="s">
        <v>1251</v>
      </c>
    </row>
    <row r="168" spans="1:3" x14ac:dyDescent="0.25">
      <c r="A168" t="s">
        <v>1252</v>
      </c>
      <c r="B168" t="s">
        <v>856</v>
      </c>
      <c r="C168" t="s">
        <v>1253</v>
      </c>
    </row>
    <row r="169" spans="1:3" x14ac:dyDescent="0.25">
      <c r="A169" t="s">
        <v>1254</v>
      </c>
      <c r="B169" t="s">
        <v>856</v>
      </c>
      <c r="C169" t="s">
        <v>1255</v>
      </c>
    </row>
    <row r="170" spans="1:3" x14ac:dyDescent="0.25">
      <c r="A170" t="s">
        <v>1256</v>
      </c>
      <c r="B170" t="s">
        <v>856</v>
      </c>
      <c r="C170" t="s">
        <v>1257</v>
      </c>
    </row>
    <row r="171" spans="1:3" x14ac:dyDescent="0.25">
      <c r="A171" t="s">
        <v>1258</v>
      </c>
      <c r="B171" t="s">
        <v>857</v>
      </c>
      <c r="C171" t="s">
        <v>1259</v>
      </c>
    </row>
    <row r="172" spans="1:3" x14ac:dyDescent="0.25">
      <c r="A172" t="s">
        <v>1260</v>
      </c>
      <c r="B172" t="s">
        <v>856</v>
      </c>
      <c r="C172" t="s">
        <v>1261</v>
      </c>
    </row>
    <row r="173" spans="1:3" x14ac:dyDescent="0.25">
      <c r="A173" t="s">
        <v>1262</v>
      </c>
      <c r="B173" t="s">
        <v>857</v>
      </c>
      <c r="C173" t="s">
        <v>1263</v>
      </c>
    </row>
    <row r="174" spans="1:3" x14ac:dyDescent="0.25">
      <c r="A174" t="s">
        <v>1264</v>
      </c>
      <c r="B174" t="s">
        <v>857</v>
      </c>
      <c r="C174" t="s">
        <v>1265</v>
      </c>
    </row>
    <row r="175" spans="1:3" x14ac:dyDescent="0.25">
      <c r="A175" t="s">
        <v>1266</v>
      </c>
      <c r="B175" t="s">
        <v>856</v>
      </c>
      <c r="C175" t="s">
        <v>1267</v>
      </c>
    </row>
    <row r="176" spans="1:3" x14ac:dyDescent="0.25">
      <c r="A176" t="s">
        <v>1268</v>
      </c>
      <c r="B176" t="s">
        <v>856</v>
      </c>
      <c r="C176" t="s">
        <v>1269</v>
      </c>
    </row>
    <row r="177" spans="1:3" x14ac:dyDescent="0.25">
      <c r="A177" t="s">
        <v>1270</v>
      </c>
      <c r="B177" t="s">
        <v>856</v>
      </c>
      <c r="C177" t="s">
        <v>1271</v>
      </c>
    </row>
    <row r="178" spans="1:3" x14ac:dyDescent="0.25">
      <c r="A178" t="s">
        <v>1272</v>
      </c>
      <c r="B178" t="s">
        <v>856</v>
      </c>
      <c r="C178" t="s">
        <v>1273</v>
      </c>
    </row>
    <row r="179" spans="1:3" x14ac:dyDescent="0.25">
      <c r="A179" t="s">
        <v>1274</v>
      </c>
      <c r="B179" t="s">
        <v>856</v>
      </c>
      <c r="C179" t="s">
        <v>1275</v>
      </c>
    </row>
    <row r="180" spans="1:3" x14ac:dyDescent="0.25">
      <c r="A180" t="s">
        <v>1276</v>
      </c>
      <c r="B180" t="s">
        <v>856</v>
      </c>
      <c r="C180" t="s">
        <v>1277</v>
      </c>
    </row>
    <row r="181" spans="1:3" x14ac:dyDescent="0.25">
      <c r="A181" t="s">
        <v>1278</v>
      </c>
      <c r="B181" t="s">
        <v>856</v>
      </c>
      <c r="C181" t="s">
        <v>1279</v>
      </c>
    </row>
    <row r="182" spans="1:3" x14ac:dyDescent="0.25">
      <c r="A182" t="s">
        <v>1280</v>
      </c>
      <c r="B182" t="s">
        <v>857</v>
      </c>
      <c r="C182" t="s">
        <v>1281</v>
      </c>
    </row>
    <row r="183" spans="1:3" x14ac:dyDescent="0.25">
      <c r="A183" t="s">
        <v>1282</v>
      </c>
      <c r="B183" t="s">
        <v>856</v>
      </c>
      <c r="C183" t="s">
        <v>1283</v>
      </c>
    </row>
    <row r="184" spans="1:3" x14ac:dyDescent="0.25">
      <c r="A184" t="s">
        <v>1284</v>
      </c>
      <c r="B184" t="s">
        <v>857</v>
      </c>
      <c r="C184" t="s">
        <v>1285</v>
      </c>
    </row>
    <row r="185" spans="1:3" x14ac:dyDescent="0.25">
      <c r="A185" t="s">
        <v>1286</v>
      </c>
      <c r="B185" t="s">
        <v>856</v>
      </c>
      <c r="C185" t="s">
        <v>1287</v>
      </c>
    </row>
    <row r="186" spans="1:3" x14ac:dyDescent="0.25">
      <c r="A186" t="s">
        <v>1288</v>
      </c>
      <c r="B186" t="s">
        <v>856</v>
      </c>
      <c r="C186" t="s">
        <v>1289</v>
      </c>
    </row>
    <row r="187" spans="1:3" x14ac:dyDescent="0.25">
      <c r="A187" t="s">
        <v>1290</v>
      </c>
      <c r="B187" t="s">
        <v>856</v>
      </c>
      <c r="C187" t="s">
        <v>1291</v>
      </c>
    </row>
    <row r="188" spans="1:3" x14ac:dyDescent="0.25">
      <c r="A188" t="s">
        <v>1292</v>
      </c>
      <c r="B188" t="s">
        <v>857</v>
      </c>
      <c r="C188" t="s">
        <v>1293</v>
      </c>
    </row>
    <row r="189" spans="1:3" x14ac:dyDescent="0.25">
      <c r="A189" t="s">
        <v>1294</v>
      </c>
      <c r="B189" t="s">
        <v>857</v>
      </c>
      <c r="C189" t="s">
        <v>1295</v>
      </c>
    </row>
    <row r="190" spans="1:3" x14ac:dyDescent="0.25">
      <c r="A190" t="s">
        <v>1296</v>
      </c>
      <c r="B190" t="s">
        <v>856</v>
      </c>
      <c r="C190" t="s">
        <v>1297</v>
      </c>
    </row>
    <row r="191" spans="1:3" x14ac:dyDescent="0.25">
      <c r="A191" t="s">
        <v>1298</v>
      </c>
      <c r="B191" t="s">
        <v>856</v>
      </c>
      <c r="C191" t="s">
        <v>1299</v>
      </c>
    </row>
    <row r="192" spans="1:3" x14ac:dyDescent="0.25">
      <c r="A192" t="s">
        <v>1300</v>
      </c>
      <c r="B192" t="s">
        <v>857</v>
      </c>
      <c r="C192" t="s">
        <v>1301</v>
      </c>
    </row>
    <row r="193" spans="1:3" x14ac:dyDescent="0.25">
      <c r="A193" t="s">
        <v>1302</v>
      </c>
      <c r="B193" t="s">
        <v>856</v>
      </c>
      <c r="C193" t="s">
        <v>1303</v>
      </c>
    </row>
    <row r="194" spans="1:3" x14ac:dyDescent="0.25">
      <c r="A194" t="s">
        <v>1304</v>
      </c>
      <c r="B194" t="s">
        <v>856</v>
      </c>
      <c r="C194" t="s">
        <v>1305</v>
      </c>
    </row>
    <row r="195" spans="1:3" x14ac:dyDescent="0.25">
      <c r="A195" t="s">
        <v>1306</v>
      </c>
      <c r="B195" t="s">
        <v>857</v>
      </c>
      <c r="C195" t="s">
        <v>1307</v>
      </c>
    </row>
    <row r="196" spans="1:3" x14ac:dyDescent="0.25">
      <c r="A196" t="s">
        <v>1308</v>
      </c>
      <c r="B196" t="s">
        <v>856</v>
      </c>
      <c r="C196" t="s">
        <v>1309</v>
      </c>
    </row>
    <row r="197" spans="1:3" x14ac:dyDescent="0.25">
      <c r="A197" t="s">
        <v>1310</v>
      </c>
      <c r="B197" t="s">
        <v>856</v>
      </c>
      <c r="C197" t="s">
        <v>1311</v>
      </c>
    </row>
    <row r="198" spans="1:3" x14ac:dyDescent="0.25">
      <c r="A198" t="s">
        <v>1312</v>
      </c>
      <c r="B198" t="s">
        <v>856</v>
      </c>
      <c r="C198" t="s">
        <v>1313</v>
      </c>
    </row>
    <row r="199" spans="1:3" x14ac:dyDescent="0.25">
      <c r="A199" t="s">
        <v>1314</v>
      </c>
      <c r="B199" t="s">
        <v>857</v>
      </c>
      <c r="C199" t="s">
        <v>1315</v>
      </c>
    </row>
    <row r="200" spans="1:3" x14ac:dyDescent="0.25">
      <c r="A200" t="s">
        <v>1316</v>
      </c>
      <c r="B200" t="s">
        <v>856</v>
      </c>
      <c r="C200" t="s">
        <v>1317</v>
      </c>
    </row>
    <row r="201" spans="1:3" x14ac:dyDescent="0.25">
      <c r="A201" t="s">
        <v>1318</v>
      </c>
      <c r="B201" t="s">
        <v>856</v>
      </c>
      <c r="C201" t="s">
        <v>1319</v>
      </c>
    </row>
    <row r="202" spans="1:3" x14ac:dyDescent="0.25">
      <c r="A202" t="s">
        <v>1320</v>
      </c>
      <c r="B202" t="s">
        <v>856</v>
      </c>
      <c r="C202" t="s">
        <v>1321</v>
      </c>
    </row>
    <row r="203" spans="1:3" x14ac:dyDescent="0.25">
      <c r="A203" t="s">
        <v>1322</v>
      </c>
      <c r="B203" t="s">
        <v>856</v>
      </c>
      <c r="C203" t="s">
        <v>1323</v>
      </c>
    </row>
    <row r="204" spans="1:3" x14ac:dyDescent="0.25">
      <c r="A204" t="s">
        <v>1324</v>
      </c>
      <c r="B204" t="s">
        <v>856</v>
      </c>
      <c r="C204" t="s">
        <v>1325</v>
      </c>
    </row>
    <row r="205" spans="1:3" x14ac:dyDescent="0.25">
      <c r="A205" t="s">
        <v>1326</v>
      </c>
      <c r="B205" t="s">
        <v>856</v>
      </c>
      <c r="C205" t="s">
        <v>1327</v>
      </c>
    </row>
    <row r="206" spans="1:3" x14ac:dyDescent="0.25">
      <c r="A206" t="s">
        <v>1328</v>
      </c>
      <c r="B206" t="s">
        <v>856</v>
      </c>
      <c r="C206" t="s">
        <v>1329</v>
      </c>
    </row>
    <row r="207" spans="1:3" x14ac:dyDescent="0.25">
      <c r="A207" t="s">
        <v>1330</v>
      </c>
      <c r="B207" t="s">
        <v>856</v>
      </c>
      <c r="C207" t="s">
        <v>1331</v>
      </c>
    </row>
    <row r="208" spans="1:3" x14ac:dyDescent="0.25">
      <c r="A208" t="s">
        <v>1332</v>
      </c>
      <c r="B208" t="s">
        <v>856</v>
      </c>
      <c r="C208" t="s">
        <v>1333</v>
      </c>
    </row>
    <row r="209" spans="1:3" x14ac:dyDescent="0.25">
      <c r="A209" t="s">
        <v>1334</v>
      </c>
      <c r="B209" t="s">
        <v>856</v>
      </c>
      <c r="C209" t="s">
        <v>1335</v>
      </c>
    </row>
    <row r="210" spans="1:3" x14ac:dyDescent="0.25">
      <c r="A210" t="s">
        <v>1336</v>
      </c>
      <c r="B210" t="s">
        <v>856</v>
      </c>
      <c r="C210" t="s">
        <v>1337</v>
      </c>
    </row>
    <row r="211" spans="1:3" x14ac:dyDescent="0.25">
      <c r="A211" t="s">
        <v>1338</v>
      </c>
      <c r="B211" t="s">
        <v>856</v>
      </c>
      <c r="C211" t="s">
        <v>1339</v>
      </c>
    </row>
    <row r="212" spans="1:3" x14ac:dyDescent="0.25">
      <c r="A212" t="s">
        <v>1340</v>
      </c>
      <c r="B212" t="s">
        <v>856</v>
      </c>
      <c r="C212" t="s">
        <v>1341</v>
      </c>
    </row>
    <row r="213" spans="1:3" x14ac:dyDescent="0.25">
      <c r="A213" t="s">
        <v>1342</v>
      </c>
      <c r="B213" t="s">
        <v>856</v>
      </c>
      <c r="C213" t="s">
        <v>1343</v>
      </c>
    </row>
    <row r="214" spans="1:3" x14ac:dyDescent="0.25">
      <c r="A214" t="s">
        <v>1344</v>
      </c>
      <c r="B214" t="s">
        <v>856</v>
      </c>
      <c r="C214" t="s">
        <v>1345</v>
      </c>
    </row>
    <row r="215" spans="1:3" x14ac:dyDescent="0.25">
      <c r="A215" t="s">
        <v>1346</v>
      </c>
      <c r="B215" t="s">
        <v>856</v>
      </c>
      <c r="C215" t="s">
        <v>1347</v>
      </c>
    </row>
    <row r="216" spans="1:3" x14ac:dyDescent="0.25">
      <c r="A216" t="s">
        <v>1348</v>
      </c>
      <c r="B216" t="s">
        <v>856</v>
      </c>
      <c r="C216" t="s">
        <v>1349</v>
      </c>
    </row>
    <row r="217" spans="1:3" x14ac:dyDescent="0.25">
      <c r="A217" t="s">
        <v>1350</v>
      </c>
      <c r="B217" t="s">
        <v>857</v>
      </c>
      <c r="C217" t="s">
        <v>1351</v>
      </c>
    </row>
    <row r="218" spans="1:3" x14ac:dyDescent="0.25">
      <c r="A218" t="s">
        <v>1352</v>
      </c>
      <c r="B218" t="s">
        <v>857</v>
      </c>
      <c r="C218" t="s">
        <v>1353</v>
      </c>
    </row>
    <row r="219" spans="1:3" x14ac:dyDescent="0.25">
      <c r="A219" t="s">
        <v>1354</v>
      </c>
      <c r="B219" t="s">
        <v>857</v>
      </c>
      <c r="C219" t="s">
        <v>1355</v>
      </c>
    </row>
    <row r="220" spans="1:3" x14ac:dyDescent="0.25">
      <c r="A220" t="s">
        <v>1356</v>
      </c>
      <c r="B220" t="s">
        <v>857</v>
      </c>
      <c r="C220" t="s">
        <v>1357</v>
      </c>
    </row>
    <row r="221" spans="1:3" x14ac:dyDescent="0.25">
      <c r="A221" t="s">
        <v>1358</v>
      </c>
      <c r="B221" t="s">
        <v>856</v>
      </c>
      <c r="C221" t="s">
        <v>1359</v>
      </c>
    </row>
    <row r="222" spans="1:3" x14ac:dyDescent="0.25">
      <c r="A222" t="s">
        <v>1360</v>
      </c>
      <c r="B222" t="s">
        <v>857</v>
      </c>
      <c r="C222" t="s">
        <v>1361</v>
      </c>
    </row>
    <row r="223" spans="1:3" x14ac:dyDescent="0.25">
      <c r="A223" t="s">
        <v>1362</v>
      </c>
      <c r="B223" t="s">
        <v>856</v>
      </c>
      <c r="C223" t="s">
        <v>1363</v>
      </c>
    </row>
    <row r="224" spans="1:3" x14ac:dyDescent="0.25">
      <c r="A224" t="s">
        <v>1364</v>
      </c>
      <c r="B224" t="s">
        <v>856</v>
      </c>
      <c r="C224" t="s">
        <v>1365</v>
      </c>
    </row>
    <row r="225" spans="1:3" x14ac:dyDescent="0.25">
      <c r="A225" t="s">
        <v>1366</v>
      </c>
      <c r="B225" t="s">
        <v>856</v>
      </c>
      <c r="C225" t="s">
        <v>1367</v>
      </c>
    </row>
    <row r="226" spans="1:3" x14ac:dyDescent="0.25">
      <c r="A226" t="s">
        <v>1368</v>
      </c>
      <c r="B226" t="s">
        <v>856</v>
      </c>
      <c r="C226" t="s">
        <v>1369</v>
      </c>
    </row>
    <row r="227" spans="1:3" x14ac:dyDescent="0.25">
      <c r="A227" t="s">
        <v>1370</v>
      </c>
      <c r="B227" t="s">
        <v>856</v>
      </c>
      <c r="C227" t="s">
        <v>1371</v>
      </c>
    </row>
    <row r="228" spans="1:3" x14ac:dyDescent="0.25">
      <c r="A228" t="s">
        <v>1372</v>
      </c>
      <c r="B228" t="s">
        <v>857</v>
      </c>
      <c r="C228" t="s">
        <v>1373</v>
      </c>
    </row>
    <row r="229" spans="1:3" x14ac:dyDescent="0.25">
      <c r="A229" t="s">
        <v>1374</v>
      </c>
      <c r="B229" t="s">
        <v>856</v>
      </c>
      <c r="C229" t="s">
        <v>1375</v>
      </c>
    </row>
    <row r="230" spans="1:3" x14ac:dyDescent="0.25">
      <c r="A230" t="s">
        <v>1376</v>
      </c>
      <c r="B230" t="s">
        <v>856</v>
      </c>
      <c r="C230" t="s">
        <v>1377</v>
      </c>
    </row>
    <row r="231" spans="1:3" x14ac:dyDescent="0.25">
      <c r="A231" t="s">
        <v>1378</v>
      </c>
      <c r="B231" t="s">
        <v>856</v>
      </c>
      <c r="C231" t="s">
        <v>1379</v>
      </c>
    </row>
    <row r="232" spans="1:3" x14ac:dyDescent="0.25">
      <c r="A232" t="s">
        <v>1380</v>
      </c>
      <c r="B232" t="s">
        <v>856</v>
      </c>
      <c r="C232" t="s">
        <v>1381</v>
      </c>
    </row>
    <row r="233" spans="1:3" x14ac:dyDescent="0.25">
      <c r="A233" t="s">
        <v>1382</v>
      </c>
      <c r="B233" t="s">
        <v>856</v>
      </c>
      <c r="C233" t="s">
        <v>1383</v>
      </c>
    </row>
    <row r="234" spans="1:3" x14ac:dyDescent="0.25">
      <c r="A234" t="s">
        <v>1384</v>
      </c>
      <c r="B234" t="s">
        <v>857</v>
      </c>
      <c r="C234" t="s">
        <v>1385</v>
      </c>
    </row>
    <row r="235" spans="1:3" x14ac:dyDescent="0.25">
      <c r="A235" t="s">
        <v>1386</v>
      </c>
      <c r="B235" t="s">
        <v>856</v>
      </c>
      <c r="C235" t="s">
        <v>1387</v>
      </c>
    </row>
    <row r="236" spans="1:3" x14ac:dyDescent="0.25">
      <c r="A236" t="s">
        <v>1388</v>
      </c>
      <c r="B236" t="s">
        <v>857</v>
      </c>
      <c r="C236" t="s">
        <v>1389</v>
      </c>
    </row>
    <row r="237" spans="1:3" x14ac:dyDescent="0.25">
      <c r="A237" t="s">
        <v>1390</v>
      </c>
      <c r="B237" t="s">
        <v>856</v>
      </c>
      <c r="C237" t="s">
        <v>1391</v>
      </c>
    </row>
    <row r="238" spans="1:3" x14ac:dyDescent="0.25">
      <c r="A238" t="s">
        <v>1392</v>
      </c>
      <c r="B238" t="s">
        <v>856</v>
      </c>
      <c r="C238" t="s">
        <v>1393</v>
      </c>
    </row>
    <row r="239" spans="1:3" x14ac:dyDescent="0.25">
      <c r="A239" t="s">
        <v>1394</v>
      </c>
      <c r="B239" t="s">
        <v>856</v>
      </c>
      <c r="C239" t="s">
        <v>1395</v>
      </c>
    </row>
    <row r="240" spans="1:3" x14ac:dyDescent="0.25">
      <c r="A240" t="s">
        <v>1396</v>
      </c>
      <c r="B240" t="s">
        <v>857</v>
      </c>
      <c r="C240" t="s">
        <v>1397</v>
      </c>
    </row>
    <row r="241" spans="1:3" x14ac:dyDescent="0.25">
      <c r="A241" t="s">
        <v>1398</v>
      </c>
      <c r="B241" t="s">
        <v>857</v>
      </c>
      <c r="C241" t="s">
        <v>1399</v>
      </c>
    </row>
    <row r="242" spans="1:3" x14ac:dyDescent="0.25">
      <c r="A242" t="s">
        <v>1400</v>
      </c>
      <c r="B242" t="s">
        <v>856</v>
      </c>
      <c r="C242" t="s">
        <v>1401</v>
      </c>
    </row>
    <row r="243" spans="1:3" x14ac:dyDescent="0.25">
      <c r="A243" t="s">
        <v>1402</v>
      </c>
      <c r="B243" t="s">
        <v>857</v>
      </c>
      <c r="C243" t="s">
        <v>1403</v>
      </c>
    </row>
    <row r="244" spans="1:3" x14ac:dyDescent="0.25">
      <c r="A244" t="s">
        <v>1404</v>
      </c>
      <c r="B244" t="s">
        <v>856</v>
      </c>
      <c r="C244" t="s">
        <v>1405</v>
      </c>
    </row>
    <row r="245" spans="1:3" x14ac:dyDescent="0.25">
      <c r="A245" t="s">
        <v>1406</v>
      </c>
      <c r="B245" t="s">
        <v>856</v>
      </c>
      <c r="C245" t="s">
        <v>1407</v>
      </c>
    </row>
    <row r="246" spans="1:3" x14ac:dyDescent="0.25">
      <c r="A246" t="s">
        <v>1408</v>
      </c>
      <c r="B246" t="s">
        <v>857</v>
      </c>
      <c r="C246" t="s">
        <v>1409</v>
      </c>
    </row>
    <row r="247" spans="1:3" x14ac:dyDescent="0.25">
      <c r="A247" t="s">
        <v>1410</v>
      </c>
      <c r="B247" t="s">
        <v>856</v>
      </c>
      <c r="C247" t="s">
        <v>1411</v>
      </c>
    </row>
    <row r="248" spans="1:3" x14ac:dyDescent="0.25">
      <c r="A248" t="s">
        <v>1412</v>
      </c>
      <c r="B248" t="s">
        <v>857</v>
      </c>
      <c r="C248" t="s">
        <v>1413</v>
      </c>
    </row>
    <row r="249" spans="1:3" x14ac:dyDescent="0.25">
      <c r="A249" t="s">
        <v>1414</v>
      </c>
      <c r="B249" t="s">
        <v>856</v>
      </c>
      <c r="C249" t="s">
        <v>1415</v>
      </c>
    </row>
    <row r="250" spans="1:3" x14ac:dyDescent="0.25">
      <c r="A250" t="s">
        <v>1416</v>
      </c>
      <c r="B250" t="s">
        <v>856</v>
      </c>
      <c r="C250" t="s">
        <v>1417</v>
      </c>
    </row>
    <row r="251" spans="1:3" x14ac:dyDescent="0.25">
      <c r="A251" t="s">
        <v>1418</v>
      </c>
      <c r="B251" t="s">
        <v>857</v>
      </c>
      <c r="C251" t="s">
        <v>1419</v>
      </c>
    </row>
    <row r="252" spans="1:3" x14ac:dyDescent="0.25">
      <c r="A252" t="s">
        <v>1420</v>
      </c>
      <c r="B252" t="s">
        <v>856</v>
      </c>
      <c r="C252" t="s">
        <v>1421</v>
      </c>
    </row>
    <row r="253" spans="1:3" x14ac:dyDescent="0.25">
      <c r="A253" t="s">
        <v>1422</v>
      </c>
      <c r="B253" t="s">
        <v>856</v>
      </c>
      <c r="C253" t="s">
        <v>1423</v>
      </c>
    </row>
    <row r="254" spans="1:3" x14ac:dyDescent="0.25">
      <c r="A254" t="s">
        <v>1424</v>
      </c>
      <c r="B254" t="s">
        <v>856</v>
      </c>
      <c r="C254" t="s">
        <v>1425</v>
      </c>
    </row>
    <row r="255" spans="1:3" x14ac:dyDescent="0.25">
      <c r="A255" t="s">
        <v>1426</v>
      </c>
      <c r="B255" t="s">
        <v>857</v>
      </c>
      <c r="C255" t="s">
        <v>1427</v>
      </c>
    </row>
    <row r="256" spans="1:3" x14ac:dyDescent="0.25">
      <c r="A256" t="s">
        <v>1428</v>
      </c>
      <c r="B256" t="s">
        <v>856</v>
      </c>
      <c r="C256" t="s">
        <v>1429</v>
      </c>
    </row>
    <row r="257" spans="1:3" x14ac:dyDescent="0.25">
      <c r="A257" t="s">
        <v>1430</v>
      </c>
      <c r="B257" t="s">
        <v>857</v>
      </c>
      <c r="C257" t="s">
        <v>1431</v>
      </c>
    </row>
    <row r="258" spans="1:3" x14ac:dyDescent="0.25">
      <c r="A258" t="s">
        <v>1432</v>
      </c>
      <c r="B258" t="s">
        <v>856</v>
      </c>
      <c r="C258" t="s">
        <v>1433</v>
      </c>
    </row>
    <row r="259" spans="1:3" x14ac:dyDescent="0.25">
      <c r="A259" t="s">
        <v>1434</v>
      </c>
      <c r="B259" t="s">
        <v>857</v>
      </c>
      <c r="C259" t="s">
        <v>1435</v>
      </c>
    </row>
    <row r="260" spans="1:3" x14ac:dyDescent="0.25">
      <c r="A260" t="s">
        <v>1436</v>
      </c>
      <c r="B260" t="s">
        <v>856</v>
      </c>
      <c r="C260" t="s">
        <v>1437</v>
      </c>
    </row>
    <row r="261" spans="1:3" x14ac:dyDescent="0.25">
      <c r="A261" t="s">
        <v>1438</v>
      </c>
      <c r="B261" t="s">
        <v>857</v>
      </c>
      <c r="C261" t="s">
        <v>1439</v>
      </c>
    </row>
    <row r="262" spans="1:3" x14ac:dyDescent="0.25">
      <c r="A262" t="s">
        <v>1440</v>
      </c>
      <c r="B262" t="s">
        <v>856</v>
      </c>
      <c r="C262" t="s">
        <v>1441</v>
      </c>
    </row>
    <row r="263" spans="1:3" x14ac:dyDescent="0.25">
      <c r="A263" t="s">
        <v>1442</v>
      </c>
      <c r="B263" t="s">
        <v>856</v>
      </c>
      <c r="C263" t="s">
        <v>1443</v>
      </c>
    </row>
    <row r="264" spans="1:3" x14ac:dyDescent="0.25">
      <c r="A264" t="s">
        <v>1444</v>
      </c>
      <c r="B264" t="s">
        <v>857</v>
      </c>
      <c r="C264" t="s">
        <v>1445</v>
      </c>
    </row>
    <row r="265" spans="1:3" x14ac:dyDescent="0.25">
      <c r="A265" t="s">
        <v>1446</v>
      </c>
      <c r="B265" t="s">
        <v>856</v>
      </c>
      <c r="C265" t="s">
        <v>1447</v>
      </c>
    </row>
    <row r="266" spans="1:3" x14ac:dyDescent="0.25">
      <c r="A266" t="s">
        <v>1448</v>
      </c>
      <c r="B266" t="s">
        <v>857</v>
      </c>
      <c r="C266" t="s">
        <v>1449</v>
      </c>
    </row>
    <row r="267" spans="1:3" x14ac:dyDescent="0.25">
      <c r="A267" t="s">
        <v>1450</v>
      </c>
      <c r="B267" t="s">
        <v>857</v>
      </c>
      <c r="C267" t="s">
        <v>1451</v>
      </c>
    </row>
    <row r="268" spans="1:3" x14ac:dyDescent="0.25">
      <c r="A268" t="s">
        <v>1452</v>
      </c>
      <c r="B268" t="s">
        <v>856</v>
      </c>
      <c r="C268" t="s">
        <v>1453</v>
      </c>
    </row>
    <row r="269" spans="1:3" x14ac:dyDescent="0.25">
      <c r="A269" t="s">
        <v>1454</v>
      </c>
      <c r="B269" t="s">
        <v>856</v>
      </c>
      <c r="C269" t="s">
        <v>1455</v>
      </c>
    </row>
    <row r="270" spans="1:3" x14ac:dyDescent="0.25">
      <c r="A270" t="s">
        <v>1456</v>
      </c>
      <c r="B270" t="s">
        <v>856</v>
      </c>
      <c r="C270" t="s">
        <v>1457</v>
      </c>
    </row>
    <row r="271" spans="1:3" x14ac:dyDescent="0.25">
      <c r="A271" t="s">
        <v>1458</v>
      </c>
      <c r="B271" t="s">
        <v>857</v>
      </c>
      <c r="C271" t="s">
        <v>1459</v>
      </c>
    </row>
    <row r="272" spans="1:3" x14ac:dyDescent="0.25">
      <c r="A272" t="s">
        <v>1460</v>
      </c>
      <c r="B272" t="s">
        <v>856</v>
      </c>
      <c r="C272" t="s">
        <v>1461</v>
      </c>
    </row>
    <row r="273" spans="1:3" x14ac:dyDescent="0.25">
      <c r="A273" t="s">
        <v>1462</v>
      </c>
      <c r="B273" t="s">
        <v>857</v>
      </c>
      <c r="C273" t="s">
        <v>1463</v>
      </c>
    </row>
    <row r="274" spans="1:3" x14ac:dyDescent="0.25">
      <c r="A274" t="s">
        <v>1464</v>
      </c>
      <c r="B274" t="s">
        <v>856</v>
      </c>
      <c r="C274" t="s">
        <v>1465</v>
      </c>
    </row>
    <row r="275" spans="1:3" x14ac:dyDescent="0.25">
      <c r="A275" t="s">
        <v>1466</v>
      </c>
      <c r="B275" t="s">
        <v>857</v>
      </c>
      <c r="C275" t="s">
        <v>1467</v>
      </c>
    </row>
    <row r="276" spans="1:3" x14ac:dyDescent="0.25">
      <c r="A276" t="s">
        <v>1468</v>
      </c>
      <c r="B276" t="s">
        <v>856</v>
      </c>
      <c r="C276" t="s">
        <v>1469</v>
      </c>
    </row>
    <row r="277" spans="1:3" x14ac:dyDescent="0.25">
      <c r="A277" t="s">
        <v>1470</v>
      </c>
      <c r="B277" t="s">
        <v>856</v>
      </c>
      <c r="C277" t="s">
        <v>1471</v>
      </c>
    </row>
    <row r="278" spans="1:3" x14ac:dyDescent="0.25">
      <c r="A278" t="s">
        <v>1472</v>
      </c>
      <c r="B278" t="s">
        <v>856</v>
      </c>
      <c r="C278" t="s">
        <v>1473</v>
      </c>
    </row>
    <row r="279" spans="1:3" x14ac:dyDescent="0.25">
      <c r="A279" t="s">
        <v>1474</v>
      </c>
      <c r="B279" t="s">
        <v>856</v>
      </c>
      <c r="C279" t="s">
        <v>1475</v>
      </c>
    </row>
    <row r="280" spans="1:3" x14ac:dyDescent="0.25">
      <c r="A280" t="s">
        <v>1476</v>
      </c>
      <c r="B280" t="s">
        <v>857</v>
      </c>
      <c r="C280" t="s">
        <v>1477</v>
      </c>
    </row>
    <row r="281" spans="1:3" x14ac:dyDescent="0.25">
      <c r="A281" t="s">
        <v>1478</v>
      </c>
      <c r="B281" t="s">
        <v>856</v>
      </c>
      <c r="C281" t="s">
        <v>1479</v>
      </c>
    </row>
    <row r="282" spans="1:3" x14ac:dyDescent="0.25">
      <c r="A282" t="s">
        <v>1480</v>
      </c>
      <c r="B282" t="s">
        <v>857</v>
      </c>
      <c r="C282" t="s">
        <v>1481</v>
      </c>
    </row>
    <row r="283" spans="1:3" x14ac:dyDescent="0.25">
      <c r="A283" t="s">
        <v>1482</v>
      </c>
      <c r="B283" t="s">
        <v>856</v>
      </c>
      <c r="C283" t="s">
        <v>1483</v>
      </c>
    </row>
    <row r="284" spans="1:3" x14ac:dyDescent="0.25">
      <c r="A284" t="s">
        <v>1484</v>
      </c>
      <c r="B284" t="s">
        <v>857</v>
      </c>
      <c r="C284" t="s">
        <v>1485</v>
      </c>
    </row>
    <row r="285" spans="1:3" x14ac:dyDescent="0.25">
      <c r="A285" t="s">
        <v>1486</v>
      </c>
      <c r="B285" t="s">
        <v>857</v>
      </c>
      <c r="C285" t="s">
        <v>1487</v>
      </c>
    </row>
    <row r="286" spans="1:3" x14ac:dyDescent="0.25">
      <c r="A286" t="s">
        <v>1488</v>
      </c>
      <c r="B286" t="s">
        <v>856</v>
      </c>
      <c r="C286" t="s">
        <v>1489</v>
      </c>
    </row>
    <row r="287" spans="1:3" x14ac:dyDescent="0.25">
      <c r="A287" t="s">
        <v>1490</v>
      </c>
      <c r="B287" t="s">
        <v>856</v>
      </c>
      <c r="C287" t="s">
        <v>1491</v>
      </c>
    </row>
    <row r="288" spans="1:3" x14ac:dyDescent="0.25">
      <c r="A288" t="s">
        <v>1492</v>
      </c>
      <c r="B288" t="s">
        <v>856</v>
      </c>
      <c r="C288" t="s">
        <v>1493</v>
      </c>
    </row>
    <row r="289" spans="1:3" x14ac:dyDescent="0.25">
      <c r="A289" t="s">
        <v>1494</v>
      </c>
      <c r="B289" t="s">
        <v>856</v>
      </c>
      <c r="C289" t="s">
        <v>1495</v>
      </c>
    </row>
    <row r="290" spans="1:3" x14ac:dyDescent="0.25">
      <c r="A290" t="s">
        <v>1496</v>
      </c>
      <c r="B290" t="s">
        <v>856</v>
      </c>
      <c r="C290" t="s">
        <v>1497</v>
      </c>
    </row>
    <row r="291" spans="1:3" x14ac:dyDescent="0.25">
      <c r="A291" t="s">
        <v>1498</v>
      </c>
      <c r="B291" t="s">
        <v>856</v>
      </c>
      <c r="C291" t="s">
        <v>1499</v>
      </c>
    </row>
    <row r="292" spans="1:3" x14ac:dyDescent="0.25">
      <c r="A292" t="s">
        <v>1500</v>
      </c>
      <c r="B292" t="s">
        <v>856</v>
      </c>
      <c r="C292" t="s">
        <v>1501</v>
      </c>
    </row>
    <row r="293" spans="1:3" x14ac:dyDescent="0.25">
      <c r="A293" t="s">
        <v>1502</v>
      </c>
      <c r="B293" t="s">
        <v>856</v>
      </c>
      <c r="C293" t="s">
        <v>1503</v>
      </c>
    </row>
    <row r="294" spans="1:3" x14ac:dyDescent="0.25">
      <c r="A294" t="s">
        <v>1504</v>
      </c>
      <c r="B294" t="s">
        <v>856</v>
      </c>
      <c r="C294" t="s">
        <v>1505</v>
      </c>
    </row>
    <row r="295" spans="1:3" x14ac:dyDescent="0.25">
      <c r="A295" t="s">
        <v>1506</v>
      </c>
      <c r="B295" t="s">
        <v>856</v>
      </c>
      <c r="C295" t="s">
        <v>1507</v>
      </c>
    </row>
    <row r="296" spans="1:3" x14ac:dyDescent="0.25">
      <c r="A296" t="s">
        <v>1508</v>
      </c>
      <c r="B296" t="s">
        <v>856</v>
      </c>
      <c r="C296" t="s">
        <v>1509</v>
      </c>
    </row>
    <row r="297" spans="1:3" x14ac:dyDescent="0.25">
      <c r="A297" t="s">
        <v>1510</v>
      </c>
      <c r="B297" t="s">
        <v>856</v>
      </c>
      <c r="C297" t="s">
        <v>1511</v>
      </c>
    </row>
    <row r="298" spans="1:3" x14ac:dyDescent="0.25">
      <c r="A298" t="s">
        <v>1512</v>
      </c>
      <c r="B298" t="s">
        <v>856</v>
      </c>
      <c r="C298" t="s">
        <v>1513</v>
      </c>
    </row>
    <row r="299" spans="1:3" x14ac:dyDescent="0.25">
      <c r="A299" t="s">
        <v>1514</v>
      </c>
      <c r="B299" t="s">
        <v>856</v>
      </c>
      <c r="C299" t="s">
        <v>1515</v>
      </c>
    </row>
    <row r="300" spans="1:3" x14ac:dyDescent="0.25">
      <c r="A300" t="s">
        <v>1516</v>
      </c>
      <c r="B300" t="s">
        <v>857</v>
      </c>
      <c r="C300" t="s">
        <v>1517</v>
      </c>
    </row>
    <row r="301" spans="1:3" x14ac:dyDescent="0.25">
      <c r="A301" t="s">
        <v>1518</v>
      </c>
      <c r="B301" t="s">
        <v>856</v>
      </c>
      <c r="C301" t="s">
        <v>1519</v>
      </c>
    </row>
    <row r="302" spans="1:3" x14ac:dyDescent="0.25">
      <c r="A302" t="s">
        <v>1520</v>
      </c>
      <c r="B302" t="s">
        <v>856</v>
      </c>
      <c r="C302" t="s">
        <v>1521</v>
      </c>
    </row>
    <row r="303" spans="1:3" x14ac:dyDescent="0.25">
      <c r="A303" t="s">
        <v>1522</v>
      </c>
      <c r="B303" t="s">
        <v>857</v>
      </c>
      <c r="C303" t="s">
        <v>1523</v>
      </c>
    </row>
    <row r="304" spans="1:3" x14ac:dyDescent="0.25">
      <c r="A304" t="s">
        <v>1524</v>
      </c>
      <c r="B304" t="s">
        <v>857</v>
      </c>
      <c r="C304" t="s">
        <v>1525</v>
      </c>
    </row>
    <row r="305" spans="1:3" x14ac:dyDescent="0.25">
      <c r="A305" t="s">
        <v>1526</v>
      </c>
      <c r="B305" t="s">
        <v>857</v>
      </c>
      <c r="C305" t="s">
        <v>1527</v>
      </c>
    </row>
    <row r="306" spans="1:3" x14ac:dyDescent="0.25">
      <c r="A306" t="s">
        <v>1528</v>
      </c>
      <c r="B306" t="s">
        <v>856</v>
      </c>
      <c r="C306" t="s">
        <v>1529</v>
      </c>
    </row>
    <row r="307" spans="1:3" x14ac:dyDescent="0.25">
      <c r="A307" t="s">
        <v>1530</v>
      </c>
      <c r="B307" t="s">
        <v>856</v>
      </c>
      <c r="C307" t="s">
        <v>1531</v>
      </c>
    </row>
    <row r="308" spans="1:3" x14ac:dyDescent="0.25">
      <c r="A308" t="s">
        <v>1532</v>
      </c>
      <c r="B308" t="s">
        <v>857</v>
      </c>
      <c r="C308" t="s">
        <v>1533</v>
      </c>
    </row>
    <row r="309" spans="1:3" x14ac:dyDescent="0.25">
      <c r="A309" t="s">
        <v>1534</v>
      </c>
      <c r="B309" t="s">
        <v>857</v>
      </c>
      <c r="C309" t="s">
        <v>1535</v>
      </c>
    </row>
    <row r="310" spans="1:3" x14ac:dyDescent="0.25">
      <c r="A310" t="s">
        <v>1534</v>
      </c>
      <c r="B310" t="s">
        <v>856</v>
      </c>
      <c r="C310" t="s">
        <v>1536</v>
      </c>
    </row>
    <row r="311" spans="1:3" x14ac:dyDescent="0.25">
      <c r="A311" t="s">
        <v>1537</v>
      </c>
      <c r="B311" t="s">
        <v>856</v>
      </c>
      <c r="C311" t="s">
        <v>1538</v>
      </c>
    </row>
    <row r="312" spans="1:3" x14ac:dyDescent="0.25">
      <c r="A312" t="s">
        <v>1539</v>
      </c>
      <c r="B312" t="s">
        <v>856</v>
      </c>
      <c r="C312" t="s">
        <v>1540</v>
      </c>
    </row>
    <row r="313" spans="1:3" x14ac:dyDescent="0.25">
      <c r="A313" t="s">
        <v>1541</v>
      </c>
      <c r="B313" t="s">
        <v>856</v>
      </c>
      <c r="C313" t="s">
        <v>1542</v>
      </c>
    </row>
    <row r="314" spans="1:3" x14ac:dyDescent="0.25">
      <c r="A314" t="s">
        <v>1543</v>
      </c>
      <c r="B314" t="s">
        <v>857</v>
      </c>
      <c r="C314" t="s">
        <v>1544</v>
      </c>
    </row>
    <row r="315" spans="1:3" x14ac:dyDescent="0.25">
      <c r="A315" t="s">
        <v>1545</v>
      </c>
      <c r="B315" t="s">
        <v>857</v>
      </c>
      <c r="C315" t="s">
        <v>1546</v>
      </c>
    </row>
    <row r="316" spans="1:3" x14ac:dyDescent="0.25">
      <c r="A316" t="s">
        <v>1547</v>
      </c>
      <c r="B316" t="s">
        <v>856</v>
      </c>
      <c r="C316" t="s">
        <v>1548</v>
      </c>
    </row>
    <row r="317" spans="1:3" x14ac:dyDescent="0.25">
      <c r="A317" t="s">
        <v>1549</v>
      </c>
      <c r="B317" t="s">
        <v>857</v>
      </c>
      <c r="C317" t="s">
        <v>1550</v>
      </c>
    </row>
    <row r="318" spans="1:3" x14ac:dyDescent="0.25">
      <c r="A318" t="s">
        <v>1551</v>
      </c>
      <c r="B318" t="s">
        <v>856</v>
      </c>
      <c r="C318" t="s">
        <v>1552</v>
      </c>
    </row>
    <row r="319" spans="1:3" x14ac:dyDescent="0.25">
      <c r="A319" t="s">
        <v>1553</v>
      </c>
      <c r="B319" t="s">
        <v>857</v>
      </c>
      <c r="C319" t="s">
        <v>1554</v>
      </c>
    </row>
    <row r="320" spans="1:3" x14ac:dyDescent="0.25">
      <c r="A320" t="s">
        <v>1555</v>
      </c>
      <c r="B320" t="s">
        <v>856</v>
      </c>
      <c r="C320" t="s">
        <v>1556</v>
      </c>
    </row>
    <row r="321" spans="1:3" x14ac:dyDescent="0.25">
      <c r="A321" t="s">
        <v>1557</v>
      </c>
      <c r="B321" t="s">
        <v>856</v>
      </c>
      <c r="C321" t="s">
        <v>1558</v>
      </c>
    </row>
    <row r="322" spans="1:3" x14ac:dyDescent="0.25">
      <c r="A322" t="s">
        <v>1559</v>
      </c>
      <c r="B322" t="s">
        <v>857</v>
      </c>
      <c r="C322" t="s">
        <v>1560</v>
      </c>
    </row>
    <row r="323" spans="1:3" x14ac:dyDescent="0.25">
      <c r="A323" t="s">
        <v>1561</v>
      </c>
      <c r="B323" t="s">
        <v>856</v>
      </c>
      <c r="C323" t="s">
        <v>1562</v>
      </c>
    </row>
    <row r="324" spans="1:3" x14ac:dyDescent="0.25">
      <c r="A324" t="s">
        <v>1563</v>
      </c>
      <c r="B324" t="s">
        <v>856</v>
      </c>
      <c r="C324" t="s">
        <v>1564</v>
      </c>
    </row>
    <row r="325" spans="1:3" x14ac:dyDescent="0.25">
      <c r="A325" t="s">
        <v>1565</v>
      </c>
      <c r="B325" t="s">
        <v>856</v>
      </c>
      <c r="C325" t="s">
        <v>1566</v>
      </c>
    </row>
    <row r="326" spans="1:3" x14ac:dyDescent="0.25">
      <c r="A326" t="s">
        <v>1567</v>
      </c>
      <c r="B326" t="s">
        <v>856</v>
      </c>
      <c r="C326" t="s">
        <v>1568</v>
      </c>
    </row>
    <row r="327" spans="1:3" x14ac:dyDescent="0.25">
      <c r="A327" t="s">
        <v>1569</v>
      </c>
      <c r="B327" t="s">
        <v>856</v>
      </c>
      <c r="C327" t="s">
        <v>1570</v>
      </c>
    </row>
    <row r="328" spans="1:3" x14ac:dyDescent="0.25">
      <c r="A328" t="s">
        <v>1571</v>
      </c>
      <c r="B328" t="s">
        <v>856</v>
      </c>
      <c r="C328" t="s">
        <v>1572</v>
      </c>
    </row>
    <row r="329" spans="1:3" x14ac:dyDescent="0.25">
      <c r="A329" t="s">
        <v>1573</v>
      </c>
      <c r="B329" t="s">
        <v>856</v>
      </c>
      <c r="C329" t="s">
        <v>1574</v>
      </c>
    </row>
    <row r="330" spans="1:3" x14ac:dyDescent="0.25">
      <c r="A330" t="s">
        <v>1575</v>
      </c>
      <c r="B330" t="s">
        <v>856</v>
      </c>
      <c r="C330" t="s">
        <v>1576</v>
      </c>
    </row>
    <row r="331" spans="1:3" x14ac:dyDescent="0.25">
      <c r="A331" t="s">
        <v>1577</v>
      </c>
      <c r="B331" t="s">
        <v>856</v>
      </c>
      <c r="C331" t="s">
        <v>1578</v>
      </c>
    </row>
    <row r="332" spans="1:3" x14ac:dyDescent="0.25">
      <c r="A332" t="s">
        <v>1579</v>
      </c>
      <c r="B332" t="s">
        <v>856</v>
      </c>
      <c r="C332" t="s">
        <v>1580</v>
      </c>
    </row>
    <row r="333" spans="1:3" x14ac:dyDescent="0.25">
      <c r="A333" t="s">
        <v>1581</v>
      </c>
      <c r="B333" t="s">
        <v>857</v>
      </c>
      <c r="C333" t="s">
        <v>1582</v>
      </c>
    </row>
    <row r="334" spans="1:3" x14ac:dyDescent="0.25">
      <c r="A334" t="s">
        <v>1583</v>
      </c>
      <c r="B334" t="s">
        <v>857</v>
      </c>
      <c r="C334" t="s">
        <v>1584</v>
      </c>
    </row>
    <row r="335" spans="1:3" x14ac:dyDescent="0.25">
      <c r="A335" t="s">
        <v>1585</v>
      </c>
      <c r="B335" t="s">
        <v>857</v>
      </c>
      <c r="C335" t="s">
        <v>1586</v>
      </c>
    </row>
    <row r="336" spans="1:3" x14ac:dyDescent="0.25">
      <c r="A336" t="s">
        <v>1587</v>
      </c>
      <c r="B336" t="s">
        <v>856</v>
      </c>
      <c r="C336" t="s">
        <v>1588</v>
      </c>
    </row>
    <row r="337" spans="1:3" x14ac:dyDescent="0.25">
      <c r="A337" t="s">
        <v>1589</v>
      </c>
      <c r="B337" t="s">
        <v>856</v>
      </c>
      <c r="C337" t="s">
        <v>1590</v>
      </c>
    </row>
    <row r="338" spans="1:3" x14ac:dyDescent="0.25">
      <c r="A338" t="s">
        <v>1591</v>
      </c>
      <c r="B338" t="s">
        <v>856</v>
      </c>
      <c r="C338" t="s">
        <v>1592</v>
      </c>
    </row>
    <row r="339" spans="1:3" x14ac:dyDescent="0.25">
      <c r="A339" t="s">
        <v>1593</v>
      </c>
      <c r="B339" t="s">
        <v>856</v>
      </c>
      <c r="C339" t="s">
        <v>1594</v>
      </c>
    </row>
    <row r="340" spans="1:3" x14ac:dyDescent="0.25">
      <c r="A340" t="s">
        <v>1595</v>
      </c>
      <c r="B340" t="s">
        <v>856</v>
      </c>
      <c r="C340" t="s">
        <v>1596</v>
      </c>
    </row>
    <row r="341" spans="1:3" x14ac:dyDescent="0.25">
      <c r="A341" t="s">
        <v>1597</v>
      </c>
      <c r="B341" t="s">
        <v>856</v>
      </c>
      <c r="C341" t="s">
        <v>1598</v>
      </c>
    </row>
    <row r="342" spans="1:3" x14ac:dyDescent="0.25">
      <c r="A342" t="s">
        <v>1599</v>
      </c>
      <c r="B342" t="s">
        <v>856</v>
      </c>
      <c r="C342" t="s">
        <v>1600</v>
      </c>
    </row>
    <row r="343" spans="1:3" x14ac:dyDescent="0.25">
      <c r="A343" t="s">
        <v>1601</v>
      </c>
      <c r="B343" t="s">
        <v>856</v>
      </c>
      <c r="C343" t="s">
        <v>1602</v>
      </c>
    </row>
    <row r="344" spans="1:3" x14ac:dyDescent="0.25">
      <c r="A344" t="s">
        <v>1603</v>
      </c>
      <c r="B344" t="s">
        <v>856</v>
      </c>
      <c r="C344" t="s">
        <v>1604</v>
      </c>
    </row>
    <row r="345" spans="1:3" x14ac:dyDescent="0.25">
      <c r="A345" t="s">
        <v>1605</v>
      </c>
      <c r="B345" t="s">
        <v>856</v>
      </c>
      <c r="C345" t="s">
        <v>1606</v>
      </c>
    </row>
    <row r="346" spans="1:3" x14ac:dyDescent="0.25">
      <c r="A346" t="s">
        <v>1607</v>
      </c>
      <c r="B346" t="s">
        <v>856</v>
      </c>
      <c r="C346" t="s">
        <v>1608</v>
      </c>
    </row>
    <row r="347" spans="1:3" x14ac:dyDescent="0.25">
      <c r="A347" t="s">
        <v>1609</v>
      </c>
      <c r="B347" t="s">
        <v>856</v>
      </c>
      <c r="C347" t="s">
        <v>1610</v>
      </c>
    </row>
    <row r="348" spans="1:3" x14ac:dyDescent="0.25">
      <c r="A348" t="s">
        <v>1611</v>
      </c>
      <c r="B348" t="s">
        <v>856</v>
      </c>
      <c r="C348" t="s">
        <v>1612</v>
      </c>
    </row>
    <row r="349" spans="1:3" x14ac:dyDescent="0.25">
      <c r="A349" t="s">
        <v>1613</v>
      </c>
      <c r="B349" t="s">
        <v>856</v>
      </c>
      <c r="C349" t="s">
        <v>1614</v>
      </c>
    </row>
    <row r="350" spans="1:3" x14ac:dyDescent="0.25">
      <c r="A350" t="s">
        <v>1615</v>
      </c>
      <c r="B350" t="s">
        <v>856</v>
      </c>
      <c r="C350" t="s">
        <v>1616</v>
      </c>
    </row>
    <row r="351" spans="1:3" x14ac:dyDescent="0.25">
      <c r="A351" t="s">
        <v>1617</v>
      </c>
      <c r="B351" t="s">
        <v>856</v>
      </c>
      <c r="C351" t="s">
        <v>1618</v>
      </c>
    </row>
    <row r="352" spans="1:3" x14ac:dyDescent="0.25">
      <c r="A352" t="s">
        <v>1619</v>
      </c>
      <c r="B352" t="s">
        <v>856</v>
      </c>
      <c r="C352" t="s">
        <v>1620</v>
      </c>
    </row>
    <row r="353" spans="1:3" x14ac:dyDescent="0.25">
      <c r="A353" t="s">
        <v>1621</v>
      </c>
      <c r="B353" t="s">
        <v>857</v>
      </c>
      <c r="C353" t="s">
        <v>1622</v>
      </c>
    </row>
    <row r="354" spans="1:3" x14ac:dyDescent="0.25">
      <c r="A354" t="s">
        <v>1623</v>
      </c>
      <c r="B354" t="s">
        <v>857</v>
      </c>
      <c r="C354" t="s">
        <v>1624</v>
      </c>
    </row>
    <row r="355" spans="1:3" x14ac:dyDescent="0.25">
      <c r="A355" t="s">
        <v>1625</v>
      </c>
      <c r="B355" t="s">
        <v>856</v>
      </c>
      <c r="C355" t="s">
        <v>1626</v>
      </c>
    </row>
    <row r="356" spans="1:3" x14ac:dyDescent="0.25">
      <c r="A356" t="s">
        <v>1627</v>
      </c>
      <c r="B356" t="s">
        <v>856</v>
      </c>
      <c r="C356" t="s">
        <v>1628</v>
      </c>
    </row>
    <row r="357" spans="1:3" x14ac:dyDescent="0.25">
      <c r="A357" t="s">
        <v>1629</v>
      </c>
      <c r="B357" t="s">
        <v>856</v>
      </c>
      <c r="C357" t="s">
        <v>1630</v>
      </c>
    </row>
    <row r="358" spans="1:3" x14ac:dyDescent="0.25">
      <c r="A358" t="s">
        <v>1631</v>
      </c>
      <c r="B358" t="s">
        <v>856</v>
      </c>
      <c r="C358" t="s">
        <v>1632</v>
      </c>
    </row>
    <row r="359" spans="1:3" x14ac:dyDescent="0.25">
      <c r="A359" t="s">
        <v>1633</v>
      </c>
      <c r="B359" t="s">
        <v>857</v>
      </c>
      <c r="C359" t="s">
        <v>1634</v>
      </c>
    </row>
    <row r="360" spans="1:3" x14ac:dyDescent="0.25">
      <c r="A360" t="s">
        <v>1635</v>
      </c>
      <c r="B360" t="s">
        <v>856</v>
      </c>
      <c r="C360" t="s">
        <v>1636</v>
      </c>
    </row>
    <row r="361" spans="1:3" x14ac:dyDescent="0.25">
      <c r="A361" t="s">
        <v>1637</v>
      </c>
      <c r="B361" t="s">
        <v>856</v>
      </c>
      <c r="C361" t="s">
        <v>1638</v>
      </c>
    </row>
    <row r="362" spans="1:3" x14ac:dyDescent="0.25">
      <c r="A362" t="s">
        <v>1639</v>
      </c>
      <c r="B362" t="s">
        <v>856</v>
      </c>
      <c r="C362" t="s">
        <v>1640</v>
      </c>
    </row>
    <row r="363" spans="1:3" x14ac:dyDescent="0.25">
      <c r="A363" t="s">
        <v>1641</v>
      </c>
      <c r="B363" t="s">
        <v>857</v>
      </c>
      <c r="C363" t="s">
        <v>1642</v>
      </c>
    </row>
    <row r="364" spans="1:3" x14ac:dyDescent="0.25">
      <c r="A364" t="s">
        <v>1643</v>
      </c>
      <c r="B364" t="s">
        <v>856</v>
      </c>
      <c r="C364" t="s">
        <v>1644</v>
      </c>
    </row>
    <row r="365" spans="1:3" x14ac:dyDescent="0.25">
      <c r="A365" t="s">
        <v>1645</v>
      </c>
      <c r="B365" t="s">
        <v>857</v>
      </c>
      <c r="C365" t="s">
        <v>1646</v>
      </c>
    </row>
    <row r="366" spans="1:3" x14ac:dyDescent="0.25">
      <c r="A366" t="s">
        <v>1647</v>
      </c>
      <c r="B366" t="s">
        <v>857</v>
      </c>
      <c r="C366" t="s">
        <v>1648</v>
      </c>
    </row>
    <row r="367" spans="1:3" x14ac:dyDescent="0.25">
      <c r="A367" t="s">
        <v>1649</v>
      </c>
      <c r="B367" t="s">
        <v>857</v>
      </c>
      <c r="C367" t="s">
        <v>1650</v>
      </c>
    </row>
    <row r="368" spans="1:3" x14ac:dyDescent="0.25">
      <c r="A368" t="s">
        <v>1651</v>
      </c>
      <c r="B368" t="s">
        <v>857</v>
      </c>
      <c r="C368" t="s">
        <v>1652</v>
      </c>
    </row>
    <row r="369" spans="1:3" x14ac:dyDescent="0.25">
      <c r="A369" t="s">
        <v>1653</v>
      </c>
      <c r="B369" t="s">
        <v>857</v>
      </c>
      <c r="C369" t="s">
        <v>1654</v>
      </c>
    </row>
    <row r="370" spans="1:3" x14ac:dyDescent="0.25">
      <c r="A370" t="s">
        <v>1655</v>
      </c>
      <c r="B370" t="s">
        <v>856</v>
      </c>
      <c r="C370" t="s">
        <v>1656</v>
      </c>
    </row>
    <row r="371" spans="1:3" x14ac:dyDescent="0.25">
      <c r="A371" t="s">
        <v>1657</v>
      </c>
      <c r="B371" t="s">
        <v>856</v>
      </c>
      <c r="C371" t="s">
        <v>1658</v>
      </c>
    </row>
    <row r="372" spans="1:3" x14ac:dyDescent="0.25">
      <c r="A372" t="s">
        <v>1659</v>
      </c>
      <c r="B372" t="s">
        <v>856</v>
      </c>
      <c r="C372" t="s">
        <v>1660</v>
      </c>
    </row>
    <row r="373" spans="1:3" x14ac:dyDescent="0.25">
      <c r="A373" t="s">
        <v>1661</v>
      </c>
      <c r="B373" t="s">
        <v>856</v>
      </c>
      <c r="C373" t="s">
        <v>1662</v>
      </c>
    </row>
    <row r="374" spans="1:3" x14ac:dyDescent="0.25">
      <c r="A374" t="s">
        <v>1663</v>
      </c>
      <c r="B374" t="s">
        <v>856</v>
      </c>
      <c r="C374" t="s">
        <v>1664</v>
      </c>
    </row>
    <row r="375" spans="1:3" x14ac:dyDescent="0.25">
      <c r="A375" t="s">
        <v>1665</v>
      </c>
      <c r="B375" t="s">
        <v>857</v>
      </c>
      <c r="C375" t="s">
        <v>1666</v>
      </c>
    </row>
    <row r="376" spans="1:3" x14ac:dyDescent="0.25">
      <c r="A376" t="s">
        <v>1667</v>
      </c>
      <c r="B376" t="s">
        <v>857</v>
      </c>
      <c r="C376" t="s">
        <v>1668</v>
      </c>
    </row>
    <row r="377" spans="1:3" x14ac:dyDescent="0.25">
      <c r="A377" t="s">
        <v>1669</v>
      </c>
      <c r="B377" t="s">
        <v>857</v>
      </c>
      <c r="C377" t="s">
        <v>1670</v>
      </c>
    </row>
    <row r="378" spans="1:3" x14ac:dyDescent="0.25">
      <c r="A378" t="s">
        <v>1671</v>
      </c>
      <c r="B378" t="s">
        <v>857</v>
      </c>
      <c r="C378" t="s">
        <v>1672</v>
      </c>
    </row>
    <row r="379" spans="1:3" x14ac:dyDescent="0.25">
      <c r="A379" t="s">
        <v>1673</v>
      </c>
      <c r="B379" t="s">
        <v>857</v>
      </c>
      <c r="C379" t="s">
        <v>1674</v>
      </c>
    </row>
    <row r="380" spans="1:3" x14ac:dyDescent="0.25">
      <c r="A380" t="s">
        <v>1675</v>
      </c>
      <c r="B380" t="s">
        <v>856</v>
      </c>
      <c r="C380" t="s">
        <v>1676</v>
      </c>
    </row>
    <row r="381" spans="1:3" x14ac:dyDescent="0.25">
      <c r="A381" t="s">
        <v>1677</v>
      </c>
      <c r="B381" t="s">
        <v>856</v>
      </c>
      <c r="C381" t="s">
        <v>1678</v>
      </c>
    </row>
    <row r="382" spans="1:3" x14ac:dyDescent="0.25">
      <c r="A382" t="s">
        <v>1679</v>
      </c>
      <c r="B382" t="s">
        <v>856</v>
      </c>
      <c r="C382" t="s">
        <v>1680</v>
      </c>
    </row>
    <row r="383" spans="1:3" x14ac:dyDescent="0.25">
      <c r="A383" t="s">
        <v>1681</v>
      </c>
      <c r="B383" t="s">
        <v>856</v>
      </c>
      <c r="C383" t="s">
        <v>1682</v>
      </c>
    </row>
    <row r="384" spans="1:3" x14ac:dyDescent="0.25">
      <c r="A384" t="s">
        <v>1683</v>
      </c>
      <c r="B384" t="s">
        <v>856</v>
      </c>
      <c r="C384" t="s">
        <v>1684</v>
      </c>
    </row>
    <row r="385" spans="1:3" x14ac:dyDescent="0.25">
      <c r="A385" t="s">
        <v>1685</v>
      </c>
      <c r="B385" t="s">
        <v>856</v>
      </c>
      <c r="C385" t="s">
        <v>1686</v>
      </c>
    </row>
    <row r="386" spans="1:3" x14ac:dyDescent="0.25">
      <c r="A386" t="s">
        <v>1687</v>
      </c>
      <c r="B386" t="s">
        <v>857</v>
      </c>
      <c r="C386" t="s">
        <v>1688</v>
      </c>
    </row>
    <row r="387" spans="1:3" x14ac:dyDescent="0.25">
      <c r="A387" t="s">
        <v>1689</v>
      </c>
      <c r="B387" t="s">
        <v>857</v>
      </c>
      <c r="C387" t="s">
        <v>1690</v>
      </c>
    </row>
    <row r="388" spans="1:3" x14ac:dyDescent="0.25">
      <c r="A388" t="s">
        <v>1691</v>
      </c>
      <c r="B388" t="s">
        <v>857</v>
      </c>
      <c r="C388" t="s">
        <v>1692</v>
      </c>
    </row>
    <row r="389" spans="1:3" x14ac:dyDescent="0.25">
      <c r="A389" t="s">
        <v>1693</v>
      </c>
      <c r="B389" t="s">
        <v>857</v>
      </c>
      <c r="C389" t="s">
        <v>1694</v>
      </c>
    </row>
    <row r="390" spans="1:3" x14ac:dyDescent="0.25">
      <c r="A390" t="s">
        <v>1695</v>
      </c>
      <c r="B390" t="s">
        <v>856</v>
      </c>
      <c r="C390" t="s">
        <v>1696</v>
      </c>
    </row>
    <row r="391" spans="1:3" x14ac:dyDescent="0.25">
      <c r="A391" t="s">
        <v>1697</v>
      </c>
      <c r="B391" t="s">
        <v>856</v>
      </c>
      <c r="C391" t="s">
        <v>1698</v>
      </c>
    </row>
    <row r="392" spans="1:3" x14ac:dyDescent="0.25">
      <c r="A392" t="s">
        <v>1699</v>
      </c>
      <c r="B392" t="s">
        <v>856</v>
      </c>
      <c r="C392" t="s">
        <v>1700</v>
      </c>
    </row>
    <row r="393" spans="1:3" x14ac:dyDescent="0.25">
      <c r="A393" t="s">
        <v>1701</v>
      </c>
      <c r="B393" t="s">
        <v>856</v>
      </c>
      <c r="C393" t="s">
        <v>1702</v>
      </c>
    </row>
    <row r="394" spans="1:3" x14ac:dyDescent="0.25">
      <c r="A394" t="s">
        <v>1703</v>
      </c>
      <c r="B394" t="s">
        <v>856</v>
      </c>
      <c r="C394" t="s">
        <v>1704</v>
      </c>
    </row>
    <row r="395" spans="1:3" x14ac:dyDescent="0.25">
      <c r="A395" t="s">
        <v>1705</v>
      </c>
      <c r="B395" t="s">
        <v>856</v>
      </c>
      <c r="C395" t="s">
        <v>1706</v>
      </c>
    </row>
    <row r="396" spans="1:3" x14ac:dyDescent="0.25">
      <c r="A396" t="s">
        <v>1707</v>
      </c>
      <c r="B396" t="s">
        <v>857</v>
      </c>
      <c r="C396" t="s">
        <v>1708</v>
      </c>
    </row>
    <row r="397" spans="1:3" x14ac:dyDescent="0.25">
      <c r="A397" t="s">
        <v>1709</v>
      </c>
      <c r="B397" t="s">
        <v>856</v>
      </c>
      <c r="C397" t="s">
        <v>1710</v>
      </c>
    </row>
    <row r="398" spans="1:3" x14ac:dyDescent="0.25">
      <c r="A398" t="s">
        <v>1711</v>
      </c>
      <c r="B398" t="s">
        <v>856</v>
      </c>
      <c r="C398" t="s">
        <v>1712</v>
      </c>
    </row>
    <row r="399" spans="1:3" x14ac:dyDescent="0.25">
      <c r="A399" t="s">
        <v>1713</v>
      </c>
      <c r="B399" t="s">
        <v>857</v>
      </c>
      <c r="C399" t="s">
        <v>1714</v>
      </c>
    </row>
    <row r="400" spans="1:3" x14ac:dyDescent="0.25">
      <c r="A400" t="s">
        <v>1715</v>
      </c>
      <c r="B400" t="s">
        <v>856</v>
      </c>
      <c r="C400" t="s">
        <v>1716</v>
      </c>
    </row>
    <row r="401" spans="1:3" x14ac:dyDescent="0.25">
      <c r="A401" t="s">
        <v>1717</v>
      </c>
      <c r="B401" t="s">
        <v>856</v>
      </c>
      <c r="C401" t="s">
        <v>1718</v>
      </c>
    </row>
    <row r="402" spans="1:3" x14ac:dyDescent="0.25">
      <c r="A402" t="s">
        <v>1719</v>
      </c>
      <c r="B402" t="s">
        <v>856</v>
      </c>
      <c r="C402" t="s">
        <v>1720</v>
      </c>
    </row>
    <row r="403" spans="1:3" x14ac:dyDescent="0.25">
      <c r="A403" t="s">
        <v>1721</v>
      </c>
      <c r="B403" t="s">
        <v>856</v>
      </c>
      <c r="C403" t="s">
        <v>1722</v>
      </c>
    </row>
    <row r="404" spans="1:3" x14ac:dyDescent="0.25">
      <c r="A404" t="s">
        <v>1723</v>
      </c>
      <c r="B404" t="s">
        <v>856</v>
      </c>
      <c r="C404" t="s">
        <v>1724</v>
      </c>
    </row>
    <row r="405" spans="1:3" x14ac:dyDescent="0.25">
      <c r="A405" t="s">
        <v>1725</v>
      </c>
      <c r="B405" t="s">
        <v>857</v>
      </c>
      <c r="C405" t="s">
        <v>1726</v>
      </c>
    </row>
    <row r="406" spans="1:3" x14ac:dyDescent="0.25">
      <c r="A406" t="s">
        <v>1727</v>
      </c>
      <c r="B406" t="s">
        <v>856</v>
      </c>
      <c r="C406" t="s">
        <v>1728</v>
      </c>
    </row>
    <row r="407" spans="1:3" x14ac:dyDescent="0.25">
      <c r="A407" t="s">
        <v>1729</v>
      </c>
      <c r="B407" t="s">
        <v>857</v>
      </c>
      <c r="C407" t="s">
        <v>1730</v>
      </c>
    </row>
    <row r="408" spans="1:3" x14ac:dyDescent="0.25">
      <c r="A408" t="s">
        <v>1731</v>
      </c>
      <c r="B408" t="s">
        <v>856</v>
      </c>
      <c r="C408" t="s">
        <v>1732</v>
      </c>
    </row>
    <row r="409" spans="1:3" x14ac:dyDescent="0.25">
      <c r="A409" t="s">
        <v>1733</v>
      </c>
      <c r="B409" t="s">
        <v>856</v>
      </c>
      <c r="C409" t="s">
        <v>1734</v>
      </c>
    </row>
    <row r="410" spans="1:3" x14ac:dyDescent="0.25">
      <c r="A410" t="s">
        <v>1735</v>
      </c>
      <c r="B410" t="s">
        <v>856</v>
      </c>
      <c r="C410" t="s">
        <v>1736</v>
      </c>
    </row>
    <row r="411" spans="1:3" x14ac:dyDescent="0.25">
      <c r="A411" t="s">
        <v>1737</v>
      </c>
      <c r="B411" t="s">
        <v>856</v>
      </c>
      <c r="C411" t="s">
        <v>1738</v>
      </c>
    </row>
    <row r="412" spans="1:3" x14ac:dyDescent="0.25">
      <c r="A412" t="s">
        <v>1739</v>
      </c>
      <c r="B412" t="s">
        <v>856</v>
      </c>
      <c r="C412" t="s">
        <v>1740</v>
      </c>
    </row>
    <row r="413" spans="1:3" x14ac:dyDescent="0.25">
      <c r="A413" t="s">
        <v>1741</v>
      </c>
      <c r="B413" t="s">
        <v>857</v>
      </c>
      <c r="C413" t="s">
        <v>1742</v>
      </c>
    </row>
    <row r="414" spans="1:3" x14ac:dyDescent="0.25">
      <c r="A414" t="s">
        <v>1743</v>
      </c>
      <c r="B414" t="s">
        <v>856</v>
      </c>
      <c r="C414" t="s">
        <v>1744</v>
      </c>
    </row>
    <row r="415" spans="1:3" x14ac:dyDescent="0.25">
      <c r="A415" t="s">
        <v>1745</v>
      </c>
      <c r="B415" t="s">
        <v>857</v>
      </c>
      <c r="C415" t="s">
        <v>1746</v>
      </c>
    </row>
    <row r="416" spans="1:3" x14ac:dyDescent="0.25">
      <c r="A416" t="s">
        <v>1747</v>
      </c>
      <c r="B416" t="s">
        <v>857</v>
      </c>
      <c r="C416" t="s">
        <v>1748</v>
      </c>
    </row>
    <row r="417" spans="1:3" x14ac:dyDescent="0.25">
      <c r="A417" t="s">
        <v>1749</v>
      </c>
      <c r="B417" t="s">
        <v>857</v>
      </c>
      <c r="C417" t="s">
        <v>1750</v>
      </c>
    </row>
    <row r="418" spans="1:3" x14ac:dyDescent="0.25">
      <c r="A418" t="s">
        <v>1751</v>
      </c>
      <c r="B418" t="s">
        <v>856</v>
      </c>
      <c r="C418" t="s">
        <v>1752</v>
      </c>
    </row>
    <row r="419" spans="1:3" x14ac:dyDescent="0.25">
      <c r="A419" t="s">
        <v>1753</v>
      </c>
      <c r="B419" t="s">
        <v>857</v>
      </c>
      <c r="C419" t="s">
        <v>1754</v>
      </c>
    </row>
    <row r="420" spans="1:3" x14ac:dyDescent="0.25">
      <c r="A420" t="s">
        <v>1755</v>
      </c>
      <c r="B420" t="s">
        <v>856</v>
      </c>
      <c r="C420" t="s">
        <v>1756</v>
      </c>
    </row>
    <row r="421" spans="1:3" x14ac:dyDescent="0.25">
      <c r="A421" t="s">
        <v>1757</v>
      </c>
      <c r="B421" t="s">
        <v>857</v>
      </c>
      <c r="C421" t="s">
        <v>1758</v>
      </c>
    </row>
    <row r="422" spans="1:3" x14ac:dyDescent="0.25">
      <c r="A422" t="s">
        <v>1759</v>
      </c>
      <c r="B422" t="s">
        <v>856</v>
      </c>
      <c r="C422" t="s">
        <v>1760</v>
      </c>
    </row>
    <row r="423" spans="1:3" x14ac:dyDescent="0.25">
      <c r="A423" t="s">
        <v>1761</v>
      </c>
      <c r="B423" t="s">
        <v>856</v>
      </c>
      <c r="C423" t="s">
        <v>1762</v>
      </c>
    </row>
    <row r="424" spans="1:3" x14ac:dyDescent="0.25">
      <c r="A424" t="s">
        <v>1763</v>
      </c>
      <c r="B424" t="s">
        <v>856</v>
      </c>
      <c r="C424" t="s">
        <v>1764</v>
      </c>
    </row>
    <row r="425" spans="1:3" x14ac:dyDescent="0.25">
      <c r="A425" t="s">
        <v>1765</v>
      </c>
      <c r="B425" t="s">
        <v>856</v>
      </c>
      <c r="C425" t="s">
        <v>1766</v>
      </c>
    </row>
    <row r="426" spans="1:3" x14ac:dyDescent="0.25">
      <c r="A426" t="s">
        <v>1767</v>
      </c>
      <c r="B426" t="s">
        <v>856</v>
      </c>
      <c r="C426" t="s">
        <v>1768</v>
      </c>
    </row>
    <row r="427" spans="1:3" x14ac:dyDescent="0.25">
      <c r="A427" t="s">
        <v>1769</v>
      </c>
      <c r="B427" t="s">
        <v>856</v>
      </c>
      <c r="C427" t="s">
        <v>1770</v>
      </c>
    </row>
    <row r="428" spans="1:3" x14ac:dyDescent="0.25">
      <c r="A428" t="s">
        <v>1771</v>
      </c>
      <c r="B428" t="s">
        <v>857</v>
      </c>
      <c r="C428" t="s">
        <v>1772</v>
      </c>
    </row>
    <row r="429" spans="1:3" x14ac:dyDescent="0.25">
      <c r="A429" t="s">
        <v>1773</v>
      </c>
      <c r="B429" t="s">
        <v>856</v>
      </c>
      <c r="C429" t="s">
        <v>1774</v>
      </c>
    </row>
    <row r="430" spans="1:3" x14ac:dyDescent="0.25">
      <c r="A430" t="s">
        <v>1775</v>
      </c>
      <c r="B430" t="s">
        <v>856</v>
      </c>
      <c r="C430" t="s">
        <v>1776</v>
      </c>
    </row>
    <row r="431" spans="1:3" x14ac:dyDescent="0.25">
      <c r="A431" t="s">
        <v>1777</v>
      </c>
      <c r="B431" t="s">
        <v>856</v>
      </c>
      <c r="C431" t="s">
        <v>1778</v>
      </c>
    </row>
    <row r="432" spans="1:3" x14ac:dyDescent="0.25">
      <c r="A432" t="s">
        <v>1779</v>
      </c>
      <c r="B432" t="s">
        <v>856</v>
      </c>
      <c r="C432" t="s">
        <v>1780</v>
      </c>
    </row>
    <row r="433" spans="1:3" x14ac:dyDescent="0.25">
      <c r="A433" t="s">
        <v>1781</v>
      </c>
      <c r="B433" t="s">
        <v>856</v>
      </c>
      <c r="C433" t="s">
        <v>1782</v>
      </c>
    </row>
    <row r="434" spans="1:3" x14ac:dyDescent="0.25">
      <c r="A434" t="s">
        <v>1783</v>
      </c>
      <c r="B434" t="s">
        <v>857</v>
      </c>
      <c r="C434" t="s">
        <v>1784</v>
      </c>
    </row>
    <row r="435" spans="1:3" x14ac:dyDescent="0.25">
      <c r="A435" t="s">
        <v>1785</v>
      </c>
      <c r="B435" t="s">
        <v>856</v>
      </c>
      <c r="C435" t="s">
        <v>1786</v>
      </c>
    </row>
    <row r="436" spans="1:3" x14ac:dyDescent="0.25">
      <c r="A436" t="s">
        <v>1787</v>
      </c>
      <c r="B436" t="s">
        <v>856</v>
      </c>
      <c r="C436" t="s">
        <v>1788</v>
      </c>
    </row>
    <row r="437" spans="1:3" x14ac:dyDescent="0.25">
      <c r="A437" t="s">
        <v>1789</v>
      </c>
      <c r="B437" t="s">
        <v>856</v>
      </c>
      <c r="C437" t="s">
        <v>1790</v>
      </c>
    </row>
    <row r="438" spans="1:3" x14ac:dyDescent="0.25">
      <c r="A438" t="s">
        <v>1791</v>
      </c>
      <c r="B438" t="s">
        <v>857</v>
      </c>
      <c r="C438" t="s">
        <v>1792</v>
      </c>
    </row>
    <row r="439" spans="1:3" x14ac:dyDescent="0.25">
      <c r="A439" t="s">
        <v>1793</v>
      </c>
      <c r="B439" t="s">
        <v>856</v>
      </c>
      <c r="C439" t="s">
        <v>1794</v>
      </c>
    </row>
    <row r="440" spans="1:3" x14ac:dyDescent="0.25">
      <c r="A440" t="s">
        <v>1795</v>
      </c>
      <c r="B440" t="s">
        <v>856</v>
      </c>
      <c r="C440" t="s">
        <v>1796</v>
      </c>
    </row>
    <row r="441" spans="1:3" x14ac:dyDescent="0.25">
      <c r="A441" t="s">
        <v>1797</v>
      </c>
      <c r="B441" t="s">
        <v>857</v>
      </c>
      <c r="C441" t="s">
        <v>1798</v>
      </c>
    </row>
    <row r="442" spans="1:3" x14ac:dyDescent="0.25">
      <c r="A442" t="s">
        <v>1799</v>
      </c>
      <c r="B442" t="s">
        <v>856</v>
      </c>
      <c r="C442" t="s">
        <v>1800</v>
      </c>
    </row>
    <row r="443" spans="1:3" x14ac:dyDescent="0.25">
      <c r="A443" t="s">
        <v>1801</v>
      </c>
      <c r="B443" t="s">
        <v>856</v>
      </c>
      <c r="C443" t="s">
        <v>1802</v>
      </c>
    </row>
    <row r="444" spans="1:3" x14ac:dyDescent="0.25">
      <c r="A444" t="s">
        <v>1803</v>
      </c>
      <c r="B444" t="s">
        <v>857</v>
      </c>
      <c r="C444" t="s">
        <v>1804</v>
      </c>
    </row>
    <row r="445" spans="1:3" x14ac:dyDescent="0.25">
      <c r="A445" t="s">
        <v>1805</v>
      </c>
      <c r="B445" t="s">
        <v>856</v>
      </c>
      <c r="C445" t="s">
        <v>1806</v>
      </c>
    </row>
    <row r="446" spans="1:3" x14ac:dyDescent="0.25">
      <c r="A446" t="s">
        <v>1807</v>
      </c>
      <c r="B446" t="s">
        <v>857</v>
      </c>
      <c r="C446" t="s">
        <v>1808</v>
      </c>
    </row>
    <row r="447" spans="1:3" x14ac:dyDescent="0.25">
      <c r="A447" t="s">
        <v>1809</v>
      </c>
      <c r="B447" t="s">
        <v>857</v>
      </c>
      <c r="C447" t="s">
        <v>1810</v>
      </c>
    </row>
    <row r="448" spans="1:3" x14ac:dyDescent="0.25">
      <c r="A448" t="s">
        <v>1811</v>
      </c>
      <c r="B448" t="s">
        <v>857</v>
      </c>
      <c r="C448" t="s">
        <v>1812</v>
      </c>
    </row>
    <row r="449" spans="1:3" x14ac:dyDescent="0.25">
      <c r="A449" t="s">
        <v>1813</v>
      </c>
      <c r="B449" t="s">
        <v>856</v>
      </c>
      <c r="C449" t="s">
        <v>1814</v>
      </c>
    </row>
    <row r="450" spans="1:3" x14ac:dyDescent="0.25">
      <c r="A450" t="s">
        <v>1815</v>
      </c>
      <c r="B450" t="s">
        <v>857</v>
      </c>
      <c r="C450" t="s">
        <v>1816</v>
      </c>
    </row>
    <row r="451" spans="1:3" x14ac:dyDescent="0.25">
      <c r="A451" t="s">
        <v>1817</v>
      </c>
      <c r="B451" t="s">
        <v>857</v>
      </c>
      <c r="C451" t="s">
        <v>1818</v>
      </c>
    </row>
    <row r="452" spans="1:3" x14ac:dyDescent="0.25">
      <c r="A452" t="s">
        <v>1819</v>
      </c>
      <c r="B452" t="s">
        <v>856</v>
      </c>
      <c r="C452" t="s">
        <v>1820</v>
      </c>
    </row>
    <row r="453" spans="1:3" x14ac:dyDescent="0.25">
      <c r="A453" t="s">
        <v>1821</v>
      </c>
      <c r="B453" t="s">
        <v>857</v>
      </c>
      <c r="C453" t="s">
        <v>1822</v>
      </c>
    </row>
    <row r="454" spans="1:3" x14ac:dyDescent="0.25">
      <c r="A454" t="s">
        <v>1823</v>
      </c>
      <c r="B454" t="s">
        <v>856</v>
      </c>
      <c r="C454" t="s">
        <v>1824</v>
      </c>
    </row>
    <row r="455" spans="1:3" x14ac:dyDescent="0.25">
      <c r="A455" t="s">
        <v>1825</v>
      </c>
      <c r="B455" t="s">
        <v>857</v>
      </c>
      <c r="C455" t="s">
        <v>1826</v>
      </c>
    </row>
    <row r="456" spans="1:3" x14ac:dyDescent="0.25">
      <c r="A456" t="s">
        <v>1827</v>
      </c>
      <c r="B456" t="s">
        <v>857</v>
      </c>
      <c r="C456" t="s">
        <v>1828</v>
      </c>
    </row>
    <row r="457" spans="1:3" x14ac:dyDescent="0.25">
      <c r="A457" t="s">
        <v>1829</v>
      </c>
      <c r="B457" t="s">
        <v>856</v>
      </c>
      <c r="C457" t="s">
        <v>1830</v>
      </c>
    </row>
    <row r="458" spans="1:3" x14ac:dyDescent="0.25">
      <c r="A458" t="s">
        <v>1831</v>
      </c>
      <c r="B458" t="s">
        <v>856</v>
      </c>
      <c r="C458" t="s">
        <v>1832</v>
      </c>
    </row>
    <row r="459" spans="1:3" x14ac:dyDescent="0.25">
      <c r="A459" t="s">
        <v>1833</v>
      </c>
      <c r="B459" t="s">
        <v>857</v>
      </c>
      <c r="C459" t="s">
        <v>1834</v>
      </c>
    </row>
    <row r="460" spans="1:3" x14ac:dyDescent="0.25">
      <c r="A460" t="s">
        <v>1835</v>
      </c>
      <c r="B460" t="s">
        <v>856</v>
      </c>
      <c r="C460" t="s">
        <v>1836</v>
      </c>
    </row>
    <row r="461" spans="1:3" x14ac:dyDescent="0.25">
      <c r="A461" t="s">
        <v>1837</v>
      </c>
      <c r="B461" t="s">
        <v>856</v>
      </c>
      <c r="C461" t="s">
        <v>1838</v>
      </c>
    </row>
    <row r="462" spans="1:3" x14ac:dyDescent="0.25">
      <c r="A462" t="s">
        <v>1839</v>
      </c>
      <c r="B462" t="s">
        <v>856</v>
      </c>
      <c r="C462" t="s">
        <v>1840</v>
      </c>
    </row>
    <row r="463" spans="1:3" x14ac:dyDescent="0.25">
      <c r="A463" t="s">
        <v>1841</v>
      </c>
      <c r="B463" t="s">
        <v>856</v>
      </c>
      <c r="C463" t="s">
        <v>1842</v>
      </c>
    </row>
    <row r="464" spans="1:3" x14ac:dyDescent="0.25">
      <c r="A464" t="s">
        <v>1843</v>
      </c>
      <c r="B464" t="s">
        <v>856</v>
      </c>
      <c r="C464" t="s">
        <v>1844</v>
      </c>
    </row>
    <row r="465" spans="1:3" x14ac:dyDescent="0.25">
      <c r="A465" t="s">
        <v>1845</v>
      </c>
      <c r="B465" t="s">
        <v>856</v>
      </c>
      <c r="C465" t="s">
        <v>1846</v>
      </c>
    </row>
    <row r="466" spans="1:3" x14ac:dyDescent="0.25">
      <c r="A466" t="s">
        <v>1847</v>
      </c>
      <c r="B466" t="s">
        <v>856</v>
      </c>
      <c r="C466" t="s">
        <v>1848</v>
      </c>
    </row>
    <row r="467" spans="1:3" x14ac:dyDescent="0.25">
      <c r="A467" t="s">
        <v>1849</v>
      </c>
      <c r="B467" t="s">
        <v>856</v>
      </c>
      <c r="C467" t="s">
        <v>1850</v>
      </c>
    </row>
    <row r="468" spans="1:3" x14ac:dyDescent="0.25">
      <c r="A468" t="s">
        <v>1851</v>
      </c>
      <c r="B468" t="s">
        <v>856</v>
      </c>
      <c r="C468" t="s">
        <v>1852</v>
      </c>
    </row>
    <row r="469" spans="1:3" x14ac:dyDescent="0.25">
      <c r="A469" t="s">
        <v>1853</v>
      </c>
      <c r="B469" t="s">
        <v>857</v>
      </c>
      <c r="C469" t="s">
        <v>1854</v>
      </c>
    </row>
    <row r="470" spans="1:3" x14ac:dyDescent="0.25">
      <c r="A470" t="s">
        <v>1855</v>
      </c>
      <c r="B470" t="s">
        <v>857</v>
      </c>
      <c r="C470" t="s">
        <v>1856</v>
      </c>
    </row>
    <row r="471" spans="1:3" x14ac:dyDescent="0.25">
      <c r="A471" t="s">
        <v>1857</v>
      </c>
      <c r="B471" t="s">
        <v>857</v>
      </c>
      <c r="C471" t="s">
        <v>1858</v>
      </c>
    </row>
    <row r="472" spans="1:3" x14ac:dyDescent="0.25">
      <c r="A472" t="s">
        <v>1859</v>
      </c>
      <c r="B472" t="s">
        <v>857</v>
      </c>
      <c r="C472" t="s">
        <v>1860</v>
      </c>
    </row>
    <row r="473" spans="1:3" x14ac:dyDescent="0.25">
      <c r="A473" t="s">
        <v>1861</v>
      </c>
      <c r="B473" t="s">
        <v>857</v>
      </c>
      <c r="C473" t="s">
        <v>1862</v>
      </c>
    </row>
    <row r="474" spans="1:3" x14ac:dyDescent="0.25">
      <c r="A474" t="s">
        <v>1863</v>
      </c>
      <c r="B474" t="s">
        <v>856</v>
      </c>
      <c r="C474" t="s">
        <v>1864</v>
      </c>
    </row>
    <row r="475" spans="1:3" x14ac:dyDescent="0.25">
      <c r="A475" t="s">
        <v>1865</v>
      </c>
      <c r="B475" t="s">
        <v>857</v>
      </c>
      <c r="C475" t="s">
        <v>1866</v>
      </c>
    </row>
    <row r="476" spans="1:3" x14ac:dyDescent="0.25">
      <c r="A476" t="s">
        <v>1867</v>
      </c>
      <c r="B476" t="s">
        <v>857</v>
      </c>
      <c r="C476" t="s">
        <v>1868</v>
      </c>
    </row>
    <row r="477" spans="1:3" x14ac:dyDescent="0.25">
      <c r="A477" t="s">
        <v>1869</v>
      </c>
      <c r="B477" t="s">
        <v>856</v>
      </c>
      <c r="C477" t="s">
        <v>1870</v>
      </c>
    </row>
    <row r="478" spans="1:3" x14ac:dyDescent="0.25">
      <c r="A478" t="s">
        <v>1871</v>
      </c>
      <c r="B478" t="s">
        <v>857</v>
      </c>
      <c r="C478" t="s">
        <v>1872</v>
      </c>
    </row>
    <row r="479" spans="1:3" x14ac:dyDescent="0.25">
      <c r="A479" t="s">
        <v>1873</v>
      </c>
      <c r="B479" t="s">
        <v>856</v>
      </c>
      <c r="C479" t="s">
        <v>1874</v>
      </c>
    </row>
    <row r="480" spans="1:3" x14ac:dyDescent="0.25">
      <c r="A480" t="s">
        <v>1875</v>
      </c>
      <c r="B480" t="s">
        <v>856</v>
      </c>
      <c r="C480" t="s">
        <v>1876</v>
      </c>
    </row>
    <row r="481" spans="1:3" x14ac:dyDescent="0.25">
      <c r="A481" t="s">
        <v>1877</v>
      </c>
      <c r="B481" t="s">
        <v>856</v>
      </c>
      <c r="C481" t="s">
        <v>1878</v>
      </c>
    </row>
    <row r="482" spans="1:3" x14ac:dyDescent="0.25">
      <c r="A482" t="s">
        <v>1879</v>
      </c>
      <c r="B482" t="s">
        <v>857</v>
      </c>
      <c r="C482" t="s">
        <v>1880</v>
      </c>
    </row>
    <row r="483" spans="1:3" x14ac:dyDescent="0.25">
      <c r="A483" t="s">
        <v>1881</v>
      </c>
      <c r="B483" t="s">
        <v>856</v>
      </c>
      <c r="C483" t="s">
        <v>1882</v>
      </c>
    </row>
    <row r="484" spans="1:3" x14ac:dyDescent="0.25">
      <c r="A484" t="s">
        <v>1883</v>
      </c>
      <c r="B484" t="s">
        <v>856</v>
      </c>
      <c r="C484" t="s">
        <v>1884</v>
      </c>
    </row>
    <row r="485" spans="1:3" x14ac:dyDescent="0.25">
      <c r="A485" t="s">
        <v>1885</v>
      </c>
      <c r="B485" t="s">
        <v>856</v>
      </c>
      <c r="C485" t="s">
        <v>1886</v>
      </c>
    </row>
    <row r="486" spans="1:3" x14ac:dyDescent="0.25">
      <c r="A486" t="s">
        <v>1887</v>
      </c>
      <c r="B486" t="s">
        <v>857</v>
      </c>
      <c r="C486" t="s">
        <v>1888</v>
      </c>
    </row>
    <row r="487" spans="1:3" x14ac:dyDescent="0.25">
      <c r="A487" t="s">
        <v>1889</v>
      </c>
      <c r="B487" t="s">
        <v>856</v>
      </c>
      <c r="C487" t="s">
        <v>1890</v>
      </c>
    </row>
    <row r="488" spans="1:3" x14ac:dyDescent="0.25">
      <c r="A488" t="s">
        <v>1891</v>
      </c>
      <c r="B488" t="s">
        <v>856</v>
      </c>
      <c r="C488" t="s">
        <v>1892</v>
      </c>
    </row>
    <row r="489" spans="1:3" x14ac:dyDescent="0.25">
      <c r="A489" t="s">
        <v>1893</v>
      </c>
      <c r="B489" t="s">
        <v>857</v>
      </c>
      <c r="C489" t="s">
        <v>1894</v>
      </c>
    </row>
    <row r="490" spans="1:3" x14ac:dyDescent="0.25">
      <c r="A490" t="s">
        <v>1895</v>
      </c>
      <c r="B490" t="s">
        <v>856</v>
      </c>
      <c r="C490" t="s">
        <v>1896</v>
      </c>
    </row>
    <row r="491" spans="1:3" x14ac:dyDescent="0.25">
      <c r="A491" t="s">
        <v>1897</v>
      </c>
      <c r="B491" t="s">
        <v>857</v>
      </c>
      <c r="C491" t="s">
        <v>1898</v>
      </c>
    </row>
    <row r="492" spans="1:3" x14ac:dyDescent="0.25">
      <c r="A492" t="s">
        <v>1899</v>
      </c>
      <c r="B492" t="s">
        <v>856</v>
      </c>
      <c r="C492" t="s">
        <v>1900</v>
      </c>
    </row>
    <row r="493" spans="1:3" x14ac:dyDescent="0.25">
      <c r="A493" t="s">
        <v>1901</v>
      </c>
      <c r="B493" t="s">
        <v>857</v>
      </c>
      <c r="C493" t="s">
        <v>1902</v>
      </c>
    </row>
    <row r="494" spans="1:3" x14ac:dyDescent="0.25">
      <c r="A494" t="s">
        <v>1903</v>
      </c>
      <c r="B494" t="s">
        <v>856</v>
      </c>
      <c r="C494" t="s">
        <v>1904</v>
      </c>
    </row>
    <row r="495" spans="1:3" x14ac:dyDescent="0.25">
      <c r="A495" t="s">
        <v>1905</v>
      </c>
      <c r="B495" t="s">
        <v>856</v>
      </c>
      <c r="C495" t="s">
        <v>1906</v>
      </c>
    </row>
    <row r="496" spans="1:3" x14ac:dyDescent="0.25">
      <c r="A496" t="s">
        <v>1907</v>
      </c>
      <c r="B496" t="s">
        <v>856</v>
      </c>
      <c r="C496" t="s">
        <v>1908</v>
      </c>
    </row>
    <row r="497" spans="1:3" x14ac:dyDescent="0.25">
      <c r="A497" t="s">
        <v>1909</v>
      </c>
      <c r="B497" t="s">
        <v>856</v>
      </c>
      <c r="C497" t="s">
        <v>1910</v>
      </c>
    </row>
    <row r="498" spans="1:3" x14ac:dyDescent="0.25">
      <c r="A498" t="s">
        <v>1911</v>
      </c>
      <c r="B498" t="s">
        <v>856</v>
      </c>
      <c r="C498" t="s">
        <v>1912</v>
      </c>
    </row>
    <row r="499" spans="1:3" x14ac:dyDescent="0.25">
      <c r="A499" t="s">
        <v>1913</v>
      </c>
      <c r="B499" t="s">
        <v>856</v>
      </c>
      <c r="C499" t="s">
        <v>1914</v>
      </c>
    </row>
    <row r="500" spans="1:3" x14ac:dyDescent="0.25">
      <c r="A500" t="s">
        <v>1915</v>
      </c>
      <c r="B500" t="s">
        <v>856</v>
      </c>
      <c r="C500" t="s">
        <v>1916</v>
      </c>
    </row>
    <row r="501" spans="1:3" x14ac:dyDescent="0.25">
      <c r="A501" t="s">
        <v>1917</v>
      </c>
      <c r="B501" t="s">
        <v>856</v>
      </c>
      <c r="C501" t="s">
        <v>1918</v>
      </c>
    </row>
    <row r="502" spans="1:3" x14ac:dyDescent="0.25">
      <c r="A502" t="s">
        <v>1919</v>
      </c>
      <c r="B502" t="s">
        <v>856</v>
      </c>
      <c r="C502" t="s">
        <v>1920</v>
      </c>
    </row>
    <row r="503" spans="1:3" x14ac:dyDescent="0.25">
      <c r="A503" t="s">
        <v>1921</v>
      </c>
      <c r="B503" t="s">
        <v>856</v>
      </c>
      <c r="C503" t="s">
        <v>1922</v>
      </c>
    </row>
    <row r="504" spans="1:3" x14ac:dyDescent="0.25">
      <c r="A504" t="s">
        <v>1923</v>
      </c>
      <c r="B504" t="s">
        <v>856</v>
      </c>
      <c r="C504" t="s">
        <v>1924</v>
      </c>
    </row>
    <row r="505" spans="1:3" x14ac:dyDescent="0.25">
      <c r="A505" t="s">
        <v>1925</v>
      </c>
      <c r="B505" t="s">
        <v>856</v>
      </c>
      <c r="C505" t="s">
        <v>1926</v>
      </c>
    </row>
    <row r="506" spans="1:3" x14ac:dyDescent="0.25">
      <c r="A506" t="s">
        <v>1927</v>
      </c>
      <c r="B506" t="s">
        <v>856</v>
      </c>
      <c r="C506" t="s">
        <v>1928</v>
      </c>
    </row>
    <row r="507" spans="1:3" x14ac:dyDescent="0.25">
      <c r="A507" t="s">
        <v>1929</v>
      </c>
      <c r="B507" t="s">
        <v>856</v>
      </c>
      <c r="C507" t="s">
        <v>1930</v>
      </c>
    </row>
    <row r="508" spans="1:3" x14ac:dyDescent="0.25">
      <c r="A508" t="s">
        <v>1931</v>
      </c>
      <c r="B508" t="s">
        <v>856</v>
      </c>
      <c r="C508" t="s">
        <v>1932</v>
      </c>
    </row>
    <row r="509" spans="1:3" x14ac:dyDescent="0.25">
      <c r="A509" t="s">
        <v>1933</v>
      </c>
      <c r="B509" t="s">
        <v>856</v>
      </c>
      <c r="C509" t="s">
        <v>1934</v>
      </c>
    </row>
    <row r="510" spans="1:3" x14ac:dyDescent="0.25">
      <c r="A510" t="s">
        <v>1935</v>
      </c>
      <c r="B510" t="s">
        <v>856</v>
      </c>
      <c r="C510" t="s">
        <v>1936</v>
      </c>
    </row>
    <row r="511" spans="1:3" x14ac:dyDescent="0.25">
      <c r="A511" t="s">
        <v>1937</v>
      </c>
      <c r="B511" t="s">
        <v>856</v>
      </c>
      <c r="C511" t="s">
        <v>1938</v>
      </c>
    </row>
    <row r="512" spans="1:3" x14ac:dyDescent="0.25">
      <c r="A512" t="s">
        <v>1939</v>
      </c>
      <c r="B512" t="s">
        <v>856</v>
      </c>
      <c r="C512" t="s">
        <v>1940</v>
      </c>
    </row>
    <row r="513" spans="1:3" x14ac:dyDescent="0.25">
      <c r="A513" t="s">
        <v>1941</v>
      </c>
      <c r="B513" t="s">
        <v>856</v>
      </c>
      <c r="C513" t="s">
        <v>1942</v>
      </c>
    </row>
    <row r="514" spans="1:3" x14ac:dyDescent="0.25">
      <c r="A514" t="s">
        <v>1943</v>
      </c>
      <c r="B514" t="s">
        <v>857</v>
      </c>
      <c r="C514" t="s">
        <v>1944</v>
      </c>
    </row>
    <row r="515" spans="1:3" x14ac:dyDescent="0.25">
      <c r="A515" t="s">
        <v>1945</v>
      </c>
      <c r="B515" t="s">
        <v>856</v>
      </c>
      <c r="C515" t="s">
        <v>1946</v>
      </c>
    </row>
    <row r="516" spans="1:3" x14ac:dyDescent="0.25">
      <c r="A516" t="s">
        <v>1947</v>
      </c>
      <c r="B516" t="s">
        <v>856</v>
      </c>
      <c r="C516" t="s">
        <v>1948</v>
      </c>
    </row>
    <row r="517" spans="1:3" x14ac:dyDescent="0.25">
      <c r="A517" t="s">
        <v>1949</v>
      </c>
      <c r="B517" t="s">
        <v>856</v>
      </c>
      <c r="C517" t="s">
        <v>1950</v>
      </c>
    </row>
    <row r="518" spans="1:3" x14ac:dyDescent="0.25">
      <c r="A518" t="s">
        <v>1951</v>
      </c>
      <c r="B518" t="s">
        <v>856</v>
      </c>
      <c r="C518" t="s">
        <v>1952</v>
      </c>
    </row>
    <row r="519" spans="1:3" x14ac:dyDescent="0.25">
      <c r="A519" t="s">
        <v>1953</v>
      </c>
      <c r="B519" t="s">
        <v>856</v>
      </c>
      <c r="C519" t="s">
        <v>1954</v>
      </c>
    </row>
    <row r="520" spans="1:3" x14ac:dyDescent="0.25">
      <c r="A520" t="s">
        <v>1955</v>
      </c>
      <c r="B520" t="s">
        <v>856</v>
      </c>
      <c r="C520" t="s">
        <v>1956</v>
      </c>
    </row>
    <row r="521" spans="1:3" x14ac:dyDescent="0.25">
      <c r="A521" t="s">
        <v>1957</v>
      </c>
      <c r="B521" t="s">
        <v>856</v>
      </c>
      <c r="C521" t="s">
        <v>1958</v>
      </c>
    </row>
    <row r="522" spans="1:3" x14ac:dyDescent="0.25">
      <c r="A522" t="s">
        <v>1959</v>
      </c>
      <c r="B522" t="s">
        <v>857</v>
      </c>
      <c r="C522" t="s">
        <v>1960</v>
      </c>
    </row>
    <row r="523" spans="1:3" x14ac:dyDescent="0.25">
      <c r="A523" t="s">
        <v>1961</v>
      </c>
      <c r="B523" t="s">
        <v>856</v>
      </c>
      <c r="C523" t="s">
        <v>1962</v>
      </c>
    </row>
    <row r="524" spans="1:3" x14ac:dyDescent="0.25">
      <c r="A524" t="s">
        <v>1963</v>
      </c>
      <c r="B524" t="s">
        <v>857</v>
      </c>
      <c r="C524" t="s">
        <v>1964</v>
      </c>
    </row>
    <row r="525" spans="1:3" x14ac:dyDescent="0.25">
      <c r="A525" t="s">
        <v>1965</v>
      </c>
      <c r="B525" t="s">
        <v>856</v>
      </c>
      <c r="C525" t="s">
        <v>1966</v>
      </c>
    </row>
    <row r="526" spans="1:3" x14ac:dyDescent="0.25">
      <c r="A526" t="s">
        <v>1967</v>
      </c>
      <c r="B526" t="s">
        <v>856</v>
      </c>
      <c r="C526" t="s">
        <v>1968</v>
      </c>
    </row>
    <row r="527" spans="1:3" x14ac:dyDescent="0.25">
      <c r="A527" t="s">
        <v>1969</v>
      </c>
      <c r="B527" t="s">
        <v>857</v>
      </c>
      <c r="C527" t="s">
        <v>1970</v>
      </c>
    </row>
    <row r="528" spans="1:3" x14ac:dyDescent="0.25">
      <c r="A528" t="s">
        <v>1971</v>
      </c>
      <c r="B528" t="s">
        <v>856</v>
      </c>
      <c r="C528" t="s">
        <v>1972</v>
      </c>
    </row>
    <row r="529" spans="1:3" x14ac:dyDescent="0.25">
      <c r="A529" t="s">
        <v>1973</v>
      </c>
      <c r="B529" t="s">
        <v>856</v>
      </c>
      <c r="C529" t="s">
        <v>1974</v>
      </c>
    </row>
    <row r="530" spans="1:3" x14ac:dyDescent="0.25">
      <c r="A530" t="s">
        <v>1975</v>
      </c>
      <c r="B530" t="s">
        <v>856</v>
      </c>
      <c r="C530" t="s">
        <v>1976</v>
      </c>
    </row>
    <row r="531" spans="1:3" x14ac:dyDescent="0.25">
      <c r="A531" t="s">
        <v>1977</v>
      </c>
      <c r="B531" t="s">
        <v>856</v>
      </c>
      <c r="C531" t="s">
        <v>1978</v>
      </c>
    </row>
    <row r="532" spans="1:3" x14ac:dyDescent="0.25">
      <c r="A532" t="s">
        <v>1979</v>
      </c>
      <c r="B532" t="s">
        <v>856</v>
      </c>
      <c r="C532" t="s">
        <v>1980</v>
      </c>
    </row>
    <row r="533" spans="1:3" x14ac:dyDescent="0.25">
      <c r="A533" t="s">
        <v>1981</v>
      </c>
      <c r="B533" t="s">
        <v>856</v>
      </c>
      <c r="C533" t="s">
        <v>1982</v>
      </c>
    </row>
    <row r="534" spans="1:3" x14ac:dyDescent="0.25">
      <c r="A534" t="s">
        <v>1983</v>
      </c>
      <c r="B534" t="s">
        <v>856</v>
      </c>
      <c r="C534" t="s">
        <v>1984</v>
      </c>
    </row>
    <row r="535" spans="1:3" x14ac:dyDescent="0.25">
      <c r="A535" t="s">
        <v>1985</v>
      </c>
      <c r="B535" t="s">
        <v>856</v>
      </c>
      <c r="C535" t="s">
        <v>1986</v>
      </c>
    </row>
    <row r="536" spans="1:3" x14ac:dyDescent="0.25">
      <c r="A536" t="s">
        <v>1987</v>
      </c>
      <c r="B536" t="s">
        <v>856</v>
      </c>
      <c r="C536" t="s">
        <v>1988</v>
      </c>
    </row>
    <row r="537" spans="1:3" x14ac:dyDescent="0.25">
      <c r="A537" t="s">
        <v>1989</v>
      </c>
      <c r="B537" t="s">
        <v>856</v>
      </c>
      <c r="C537" t="s">
        <v>1990</v>
      </c>
    </row>
    <row r="538" spans="1:3" x14ac:dyDescent="0.25">
      <c r="A538" t="s">
        <v>1991</v>
      </c>
      <c r="B538" t="s">
        <v>856</v>
      </c>
      <c r="C538" t="s">
        <v>1992</v>
      </c>
    </row>
    <row r="539" spans="1:3" x14ac:dyDescent="0.25">
      <c r="A539" t="s">
        <v>1993</v>
      </c>
      <c r="B539" t="s">
        <v>856</v>
      </c>
      <c r="C539" t="s">
        <v>1994</v>
      </c>
    </row>
    <row r="540" spans="1:3" x14ac:dyDescent="0.25">
      <c r="A540" t="s">
        <v>1995</v>
      </c>
      <c r="B540" t="s">
        <v>856</v>
      </c>
      <c r="C540" t="s">
        <v>1996</v>
      </c>
    </row>
    <row r="541" spans="1:3" x14ac:dyDescent="0.25">
      <c r="A541" t="s">
        <v>1997</v>
      </c>
      <c r="B541" t="s">
        <v>856</v>
      </c>
      <c r="C541" t="s">
        <v>1998</v>
      </c>
    </row>
    <row r="542" spans="1:3" x14ac:dyDescent="0.25">
      <c r="A542" t="s">
        <v>1999</v>
      </c>
      <c r="B542" t="s">
        <v>856</v>
      </c>
      <c r="C542" t="s">
        <v>2000</v>
      </c>
    </row>
    <row r="543" spans="1:3" x14ac:dyDescent="0.25">
      <c r="A543" t="s">
        <v>2001</v>
      </c>
      <c r="B543" t="s">
        <v>856</v>
      </c>
      <c r="C543" t="s">
        <v>2002</v>
      </c>
    </row>
    <row r="544" spans="1:3" x14ac:dyDescent="0.25">
      <c r="A544" t="s">
        <v>2003</v>
      </c>
      <c r="B544" t="s">
        <v>856</v>
      </c>
      <c r="C544" t="s">
        <v>2004</v>
      </c>
    </row>
    <row r="545" spans="1:3" x14ac:dyDescent="0.25">
      <c r="A545" t="s">
        <v>2005</v>
      </c>
      <c r="B545" t="s">
        <v>856</v>
      </c>
      <c r="C545" t="s">
        <v>2006</v>
      </c>
    </row>
    <row r="546" spans="1:3" x14ac:dyDescent="0.25">
      <c r="A546" t="s">
        <v>2007</v>
      </c>
      <c r="B546" t="s">
        <v>856</v>
      </c>
      <c r="C546" t="s">
        <v>2008</v>
      </c>
    </row>
    <row r="547" spans="1:3" x14ac:dyDescent="0.25">
      <c r="A547" t="s">
        <v>2009</v>
      </c>
      <c r="B547" t="s">
        <v>857</v>
      </c>
      <c r="C547" t="s">
        <v>2010</v>
      </c>
    </row>
    <row r="548" spans="1:3" x14ac:dyDescent="0.25">
      <c r="A548" t="s">
        <v>2011</v>
      </c>
      <c r="B548" t="s">
        <v>856</v>
      </c>
      <c r="C548" t="s">
        <v>2012</v>
      </c>
    </row>
    <row r="549" spans="1:3" x14ac:dyDescent="0.25">
      <c r="A549" t="s">
        <v>2013</v>
      </c>
      <c r="B549" t="s">
        <v>856</v>
      </c>
      <c r="C549" t="s">
        <v>2014</v>
      </c>
    </row>
    <row r="550" spans="1:3" x14ac:dyDescent="0.25">
      <c r="A550" t="s">
        <v>2015</v>
      </c>
      <c r="B550" t="s">
        <v>856</v>
      </c>
      <c r="C550" t="s">
        <v>2016</v>
      </c>
    </row>
    <row r="551" spans="1:3" x14ac:dyDescent="0.25">
      <c r="A551" t="s">
        <v>2017</v>
      </c>
      <c r="B551" t="s">
        <v>856</v>
      </c>
      <c r="C551" t="s">
        <v>2018</v>
      </c>
    </row>
    <row r="552" spans="1:3" x14ac:dyDescent="0.25">
      <c r="A552" t="s">
        <v>2019</v>
      </c>
      <c r="B552" t="s">
        <v>856</v>
      </c>
      <c r="C552" t="s">
        <v>2020</v>
      </c>
    </row>
    <row r="553" spans="1:3" x14ac:dyDescent="0.25">
      <c r="A553" t="s">
        <v>2021</v>
      </c>
      <c r="B553" t="s">
        <v>856</v>
      </c>
      <c r="C553" t="s">
        <v>2022</v>
      </c>
    </row>
    <row r="554" spans="1:3" x14ac:dyDescent="0.25">
      <c r="A554" t="s">
        <v>2023</v>
      </c>
      <c r="B554" t="s">
        <v>857</v>
      </c>
      <c r="C554" t="s">
        <v>2024</v>
      </c>
    </row>
    <row r="555" spans="1:3" x14ac:dyDescent="0.25">
      <c r="A555" t="s">
        <v>2025</v>
      </c>
      <c r="B555" t="s">
        <v>856</v>
      </c>
      <c r="C555" t="s">
        <v>2026</v>
      </c>
    </row>
    <row r="556" spans="1:3" x14ac:dyDescent="0.25">
      <c r="A556" t="s">
        <v>2027</v>
      </c>
      <c r="B556" t="s">
        <v>856</v>
      </c>
      <c r="C556" t="s">
        <v>2028</v>
      </c>
    </row>
    <row r="557" spans="1:3" x14ac:dyDescent="0.25">
      <c r="A557" t="s">
        <v>2029</v>
      </c>
      <c r="B557" t="s">
        <v>856</v>
      </c>
      <c r="C557" t="s">
        <v>2030</v>
      </c>
    </row>
    <row r="558" spans="1:3" x14ac:dyDescent="0.25">
      <c r="A558" t="s">
        <v>2031</v>
      </c>
      <c r="B558" t="s">
        <v>856</v>
      </c>
      <c r="C558" t="s">
        <v>2032</v>
      </c>
    </row>
    <row r="559" spans="1:3" x14ac:dyDescent="0.25">
      <c r="A559" t="s">
        <v>2033</v>
      </c>
      <c r="B559" t="s">
        <v>856</v>
      </c>
      <c r="C559" t="s">
        <v>2034</v>
      </c>
    </row>
    <row r="560" spans="1:3" x14ac:dyDescent="0.25">
      <c r="A560" t="s">
        <v>2035</v>
      </c>
      <c r="B560" t="s">
        <v>857</v>
      </c>
      <c r="C560" t="s">
        <v>2036</v>
      </c>
    </row>
    <row r="561" spans="1:3" x14ac:dyDescent="0.25">
      <c r="A561" t="s">
        <v>2037</v>
      </c>
      <c r="B561" t="s">
        <v>856</v>
      </c>
      <c r="C561" t="s">
        <v>2038</v>
      </c>
    </row>
    <row r="562" spans="1:3" x14ac:dyDescent="0.25">
      <c r="A562" t="s">
        <v>2039</v>
      </c>
      <c r="B562" t="s">
        <v>856</v>
      </c>
      <c r="C562" t="s">
        <v>2040</v>
      </c>
    </row>
    <row r="563" spans="1:3" x14ac:dyDescent="0.25">
      <c r="A563" t="s">
        <v>2041</v>
      </c>
      <c r="B563" t="s">
        <v>856</v>
      </c>
      <c r="C563" t="s">
        <v>2042</v>
      </c>
    </row>
    <row r="564" spans="1:3" x14ac:dyDescent="0.25">
      <c r="A564" t="s">
        <v>2043</v>
      </c>
      <c r="B564" t="s">
        <v>856</v>
      </c>
      <c r="C564" t="s">
        <v>2044</v>
      </c>
    </row>
    <row r="565" spans="1:3" x14ac:dyDescent="0.25">
      <c r="A565" t="s">
        <v>2045</v>
      </c>
      <c r="B565" t="s">
        <v>857</v>
      </c>
      <c r="C565" t="s">
        <v>2046</v>
      </c>
    </row>
    <row r="566" spans="1:3" x14ac:dyDescent="0.25">
      <c r="A566" t="s">
        <v>2047</v>
      </c>
      <c r="B566" t="s">
        <v>857</v>
      </c>
      <c r="C566" t="s">
        <v>2048</v>
      </c>
    </row>
    <row r="567" spans="1:3" x14ac:dyDescent="0.25">
      <c r="A567" t="s">
        <v>2049</v>
      </c>
      <c r="B567" t="s">
        <v>856</v>
      </c>
      <c r="C567" t="s">
        <v>2050</v>
      </c>
    </row>
    <row r="568" spans="1:3" x14ac:dyDescent="0.25">
      <c r="A568" t="s">
        <v>2051</v>
      </c>
      <c r="B568" t="s">
        <v>857</v>
      </c>
      <c r="C568" t="s">
        <v>2052</v>
      </c>
    </row>
    <row r="569" spans="1:3" x14ac:dyDescent="0.25">
      <c r="A569" t="s">
        <v>2053</v>
      </c>
      <c r="B569" t="s">
        <v>857</v>
      </c>
      <c r="C569" t="s">
        <v>2054</v>
      </c>
    </row>
    <row r="570" spans="1:3" x14ac:dyDescent="0.25">
      <c r="A570" t="s">
        <v>2055</v>
      </c>
      <c r="B570" t="s">
        <v>857</v>
      </c>
      <c r="C570" t="s">
        <v>2056</v>
      </c>
    </row>
    <row r="571" spans="1:3" x14ac:dyDescent="0.25">
      <c r="A571" t="s">
        <v>2057</v>
      </c>
      <c r="B571" t="s">
        <v>856</v>
      </c>
      <c r="C571" t="s">
        <v>2058</v>
      </c>
    </row>
    <row r="572" spans="1:3" x14ac:dyDescent="0.25">
      <c r="A572" t="s">
        <v>2059</v>
      </c>
      <c r="B572" t="s">
        <v>856</v>
      </c>
      <c r="C572" t="s">
        <v>2060</v>
      </c>
    </row>
    <row r="573" spans="1:3" x14ac:dyDescent="0.25">
      <c r="A573" t="s">
        <v>2061</v>
      </c>
      <c r="B573" t="s">
        <v>856</v>
      </c>
      <c r="C573" t="s">
        <v>2062</v>
      </c>
    </row>
    <row r="574" spans="1:3" x14ac:dyDescent="0.25">
      <c r="A574" t="s">
        <v>2063</v>
      </c>
      <c r="B574" t="s">
        <v>856</v>
      </c>
      <c r="C574" t="s">
        <v>2064</v>
      </c>
    </row>
    <row r="575" spans="1:3" x14ac:dyDescent="0.25">
      <c r="A575" t="s">
        <v>2065</v>
      </c>
      <c r="B575" t="s">
        <v>857</v>
      </c>
      <c r="C575" t="s">
        <v>2066</v>
      </c>
    </row>
    <row r="576" spans="1:3" x14ac:dyDescent="0.25">
      <c r="A576" t="s">
        <v>2067</v>
      </c>
      <c r="B576" t="s">
        <v>856</v>
      </c>
      <c r="C576" t="s">
        <v>2068</v>
      </c>
    </row>
    <row r="577" spans="1:3" x14ac:dyDescent="0.25">
      <c r="A577" t="s">
        <v>2069</v>
      </c>
      <c r="B577" t="s">
        <v>856</v>
      </c>
      <c r="C577" t="s">
        <v>2070</v>
      </c>
    </row>
    <row r="578" spans="1:3" x14ac:dyDescent="0.25">
      <c r="A578" t="s">
        <v>2071</v>
      </c>
      <c r="B578" t="s">
        <v>857</v>
      </c>
      <c r="C578" t="s">
        <v>2072</v>
      </c>
    </row>
    <row r="579" spans="1:3" x14ac:dyDescent="0.25">
      <c r="A579" t="s">
        <v>2073</v>
      </c>
      <c r="B579" t="s">
        <v>857</v>
      </c>
      <c r="C579" t="s">
        <v>2074</v>
      </c>
    </row>
    <row r="580" spans="1:3" x14ac:dyDescent="0.25">
      <c r="A580" t="s">
        <v>2075</v>
      </c>
      <c r="B580" t="s">
        <v>856</v>
      </c>
      <c r="C580" t="s">
        <v>2076</v>
      </c>
    </row>
    <row r="581" spans="1:3" x14ac:dyDescent="0.25">
      <c r="A581" t="s">
        <v>2077</v>
      </c>
      <c r="B581" t="s">
        <v>857</v>
      </c>
      <c r="C581" t="s">
        <v>2078</v>
      </c>
    </row>
    <row r="582" spans="1:3" x14ac:dyDescent="0.25">
      <c r="A582" t="s">
        <v>2079</v>
      </c>
      <c r="B582" t="s">
        <v>856</v>
      </c>
      <c r="C582" t="s">
        <v>2080</v>
      </c>
    </row>
    <row r="583" spans="1:3" x14ac:dyDescent="0.25">
      <c r="A583" t="s">
        <v>2081</v>
      </c>
      <c r="B583" t="s">
        <v>856</v>
      </c>
      <c r="C583" t="s">
        <v>2082</v>
      </c>
    </row>
    <row r="584" spans="1:3" x14ac:dyDescent="0.25">
      <c r="A584" t="s">
        <v>2083</v>
      </c>
      <c r="B584" t="s">
        <v>856</v>
      </c>
      <c r="C584" t="s">
        <v>2084</v>
      </c>
    </row>
    <row r="585" spans="1:3" x14ac:dyDescent="0.25">
      <c r="A585" t="s">
        <v>2085</v>
      </c>
      <c r="B585" t="s">
        <v>857</v>
      </c>
      <c r="C585" t="s">
        <v>2086</v>
      </c>
    </row>
    <row r="586" spans="1:3" x14ac:dyDescent="0.25">
      <c r="A586" t="s">
        <v>2087</v>
      </c>
      <c r="B586" t="s">
        <v>856</v>
      </c>
      <c r="C586" t="s">
        <v>2088</v>
      </c>
    </row>
    <row r="587" spans="1:3" x14ac:dyDescent="0.25">
      <c r="A587" t="s">
        <v>2089</v>
      </c>
      <c r="B587" t="s">
        <v>856</v>
      </c>
      <c r="C587" t="s">
        <v>2090</v>
      </c>
    </row>
    <row r="588" spans="1:3" x14ac:dyDescent="0.25">
      <c r="A588" t="s">
        <v>2091</v>
      </c>
      <c r="B588" t="s">
        <v>856</v>
      </c>
      <c r="C588" t="s">
        <v>2092</v>
      </c>
    </row>
    <row r="589" spans="1:3" x14ac:dyDescent="0.25">
      <c r="A589" t="s">
        <v>2093</v>
      </c>
      <c r="B589" t="s">
        <v>856</v>
      </c>
      <c r="C589" t="s">
        <v>2094</v>
      </c>
    </row>
    <row r="590" spans="1:3" x14ac:dyDescent="0.25">
      <c r="A590" t="s">
        <v>2095</v>
      </c>
      <c r="B590" t="s">
        <v>856</v>
      </c>
      <c r="C590" t="s">
        <v>2096</v>
      </c>
    </row>
    <row r="591" spans="1:3" x14ac:dyDescent="0.25">
      <c r="A591" t="s">
        <v>2097</v>
      </c>
      <c r="B591" t="s">
        <v>856</v>
      </c>
      <c r="C591" t="s">
        <v>2098</v>
      </c>
    </row>
    <row r="592" spans="1:3" x14ac:dyDescent="0.25">
      <c r="A592" t="s">
        <v>2099</v>
      </c>
      <c r="B592" t="s">
        <v>856</v>
      </c>
      <c r="C592" t="s">
        <v>2100</v>
      </c>
    </row>
    <row r="593" spans="1:3" x14ac:dyDescent="0.25">
      <c r="A593" t="s">
        <v>2101</v>
      </c>
      <c r="B593" t="s">
        <v>857</v>
      </c>
      <c r="C593" t="s">
        <v>2102</v>
      </c>
    </row>
    <row r="594" spans="1:3" x14ac:dyDescent="0.25">
      <c r="A594" t="s">
        <v>2103</v>
      </c>
      <c r="B594" t="s">
        <v>857</v>
      </c>
      <c r="C594" t="s">
        <v>2104</v>
      </c>
    </row>
    <row r="595" spans="1:3" x14ac:dyDescent="0.25">
      <c r="A595" t="s">
        <v>2105</v>
      </c>
      <c r="B595" t="s">
        <v>856</v>
      </c>
      <c r="C595" t="s">
        <v>2106</v>
      </c>
    </row>
    <row r="596" spans="1:3" x14ac:dyDescent="0.25">
      <c r="A596" t="s">
        <v>2107</v>
      </c>
      <c r="B596" t="s">
        <v>856</v>
      </c>
      <c r="C596" t="s">
        <v>2108</v>
      </c>
    </row>
    <row r="597" spans="1:3" x14ac:dyDescent="0.25">
      <c r="A597" t="s">
        <v>2109</v>
      </c>
      <c r="B597" t="s">
        <v>856</v>
      </c>
      <c r="C597" t="s">
        <v>2110</v>
      </c>
    </row>
    <row r="598" spans="1:3" x14ac:dyDescent="0.25">
      <c r="A598" t="s">
        <v>2111</v>
      </c>
      <c r="B598" t="s">
        <v>857</v>
      </c>
      <c r="C598" t="s">
        <v>2112</v>
      </c>
    </row>
    <row r="599" spans="1:3" x14ac:dyDescent="0.25">
      <c r="A599" t="s">
        <v>2113</v>
      </c>
      <c r="B599" t="s">
        <v>856</v>
      </c>
      <c r="C599" t="s">
        <v>2114</v>
      </c>
    </row>
    <row r="600" spans="1:3" x14ac:dyDescent="0.25">
      <c r="A600" t="s">
        <v>2115</v>
      </c>
      <c r="B600" t="s">
        <v>856</v>
      </c>
      <c r="C600" t="s">
        <v>2116</v>
      </c>
    </row>
    <row r="601" spans="1:3" x14ac:dyDescent="0.25">
      <c r="A601" t="s">
        <v>2117</v>
      </c>
      <c r="B601" t="s">
        <v>857</v>
      </c>
      <c r="C601" t="s">
        <v>2118</v>
      </c>
    </row>
    <row r="602" spans="1:3" x14ac:dyDescent="0.25">
      <c r="A602" t="s">
        <v>2119</v>
      </c>
      <c r="B602" t="s">
        <v>856</v>
      </c>
      <c r="C602" t="s">
        <v>2120</v>
      </c>
    </row>
    <row r="603" spans="1:3" x14ac:dyDescent="0.25">
      <c r="A603" t="s">
        <v>2121</v>
      </c>
      <c r="B603" t="s">
        <v>856</v>
      </c>
      <c r="C603" t="s">
        <v>2122</v>
      </c>
    </row>
    <row r="604" spans="1:3" x14ac:dyDescent="0.25">
      <c r="A604" t="s">
        <v>2123</v>
      </c>
      <c r="B604" t="s">
        <v>856</v>
      </c>
      <c r="C604" t="s">
        <v>2124</v>
      </c>
    </row>
    <row r="605" spans="1:3" x14ac:dyDescent="0.25">
      <c r="A605" t="s">
        <v>2125</v>
      </c>
      <c r="B605" t="s">
        <v>856</v>
      </c>
      <c r="C605" t="s">
        <v>2126</v>
      </c>
    </row>
    <row r="606" spans="1:3" x14ac:dyDescent="0.25">
      <c r="A606" t="s">
        <v>2127</v>
      </c>
      <c r="B606" t="s">
        <v>856</v>
      </c>
      <c r="C606" t="s">
        <v>2128</v>
      </c>
    </row>
    <row r="607" spans="1:3" x14ac:dyDescent="0.25">
      <c r="A607" t="s">
        <v>2129</v>
      </c>
      <c r="B607" t="s">
        <v>856</v>
      </c>
      <c r="C607" t="s">
        <v>2130</v>
      </c>
    </row>
    <row r="608" spans="1:3" x14ac:dyDescent="0.25">
      <c r="A608" t="s">
        <v>2131</v>
      </c>
      <c r="B608" t="s">
        <v>857</v>
      </c>
      <c r="C608" t="s">
        <v>2132</v>
      </c>
    </row>
    <row r="609" spans="1:3" x14ac:dyDescent="0.25">
      <c r="A609" t="s">
        <v>2133</v>
      </c>
      <c r="B609" t="s">
        <v>856</v>
      </c>
      <c r="C609" t="s">
        <v>2134</v>
      </c>
    </row>
    <row r="610" spans="1:3" x14ac:dyDescent="0.25">
      <c r="A610" t="s">
        <v>2135</v>
      </c>
      <c r="B610" t="s">
        <v>856</v>
      </c>
      <c r="C610" t="s">
        <v>2136</v>
      </c>
    </row>
    <row r="611" spans="1:3" x14ac:dyDescent="0.25">
      <c r="A611" t="s">
        <v>2137</v>
      </c>
      <c r="B611" t="s">
        <v>856</v>
      </c>
      <c r="C611" t="s">
        <v>2138</v>
      </c>
    </row>
    <row r="612" spans="1:3" x14ac:dyDescent="0.25">
      <c r="A612" t="s">
        <v>2139</v>
      </c>
      <c r="B612" t="s">
        <v>856</v>
      </c>
      <c r="C612" t="s">
        <v>2140</v>
      </c>
    </row>
    <row r="613" spans="1:3" x14ac:dyDescent="0.25">
      <c r="A613" t="s">
        <v>2141</v>
      </c>
      <c r="B613" t="s">
        <v>856</v>
      </c>
      <c r="C613" t="s">
        <v>2142</v>
      </c>
    </row>
    <row r="614" spans="1:3" x14ac:dyDescent="0.25">
      <c r="A614" t="s">
        <v>2143</v>
      </c>
      <c r="B614" t="s">
        <v>856</v>
      </c>
      <c r="C614" t="s">
        <v>2144</v>
      </c>
    </row>
    <row r="615" spans="1:3" x14ac:dyDescent="0.25">
      <c r="A615" t="s">
        <v>2145</v>
      </c>
      <c r="B615" t="s">
        <v>856</v>
      </c>
      <c r="C615" t="s">
        <v>2146</v>
      </c>
    </row>
    <row r="616" spans="1:3" x14ac:dyDescent="0.25">
      <c r="A616" t="s">
        <v>2147</v>
      </c>
      <c r="B616" t="s">
        <v>856</v>
      </c>
      <c r="C616" t="s">
        <v>2148</v>
      </c>
    </row>
    <row r="617" spans="1:3" x14ac:dyDescent="0.25">
      <c r="A617" t="s">
        <v>2149</v>
      </c>
      <c r="B617" t="s">
        <v>856</v>
      </c>
      <c r="C617" t="s">
        <v>2150</v>
      </c>
    </row>
    <row r="618" spans="1:3" x14ac:dyDescent="0.25">
      <c r="A618" t="s">
        <v>2151</v>
      </c>
      <c r="B618" t="s">
        <v>857</v>
      </c>
      <c r="C618" t="s">
        <v>2152</v>
      </c>
    </row>
    <row r="619" spans="1:3" x14ac:dyDescent="0.25">
      <c r="A619" t="s">
        <v>2153</v>
      </c>
      <c r="B619" t="s">
        <v>857</v>
      </c>
      <c r="C619" t="s">
        <v>2154</v>
      </c>
    </row>
    <row r="620" spans="1:3" x14ac:dyDescent="0.25">
      <c r="A620" t="s">
        <v>2155</v>
      </c>
      <c r="B620" t="s">
        <v>857</v>
      </c>
      <c r="C620" t="s">
        <v>2156</v>
      </c>
    </row>
    <row r="621" spans="1:3" x14ac:dyDescent="0.25">
      <c r="A621" t="s">
        <v>2157</v>
      </c>
      <c r="B621" t="s">
        <v>857</v>
      </c>
      <c r="C621" t="s">
        <v>2158</v>
      </c>
    </row>
    <row r="622" spans="1:3" x14ac:dyDescent="0.25">
      <c r="A622" t="s">
        <v>2159</v>
      </c>
      <c r="B622" t="s">
        <v>856</v>
      </c>
      <c r="C622" t="s">
        <v>2160</v>
      </c>
    </row>
    <row r="623" spans="1:3" x14ac:dyDescent="0.25">
      <c r="A623" t="s">
        <v>2161</v>
      </c>
      <c r="B623" t="s">
        <v>857</v>
      </c>
      <c r="C623" t="s">
        <v>2162</v>
      </c>
    </row>
    <row r="624" spans="1:3" x14ac:dyDescent="0.25">
      <c r="A624" t="s">
        <v>2163</v>
      </c>
      <c r="B624" t="s">
        <v>857</v>
      </c>
      <c r="C624" t="s">
        <v>2164</v>
      </c>
    </row>
    <row r="625" spans="1:3" x14ac:dyDescent="0.25">
      <c r="A625" t="s">
        <v>2165</v>
      </c>
      <c r="B625" t="s">
        <v>857</v>
      </c>
      <c r="C625" t="s">
        <v>2166</v>
      </c>
    </row>
    <row r="626" spans="1:3" x14ac:dyDescent="0.25">
      <c r="A626" t="s">
        <v>2167</v>
      </c>
      <c r="B626" t="s">
        <v>856</v>
      </c>
      <c r="C626" t="s">
        <v>2168</v>
      </c>
    </row>
    <row r="627" spans="1:3" x14ac:dyDescent="0.25">
      <c r="A627" t="s">
        <v>2169</v>
      </c>
      <c r="B627" t="s">
        <v>856</v>
      </c>
      <c r="C627" t="s">
        <v>2170</v>
      </c>
    </row>
    <row r="628" spans="1:3" x14ac:dyDescent="0.25">
      <c r="A628" t="s">
        <v>2171</v>
      </c>
      <c r="B628" t="s">
        <v>856</v>
      </c>
      <c r="C628" t="s">
        <v>2172</v>
      </c>
    </row>
    <row r="629" spans="1:3" x14ac:dyDescent="0.25">
      <c r="A629" t="s">
        <v>2173</v>
      </c>
      <c r="B629" t="s">
        <v>856</v>
      </c>
      <c r="C629" t="s">
        <v>2174</v>
      </c>
    </row>
    <row r="630" spans="1:3" x14ac:dyDescent="0.25">
      <c r="A630" t="s">
        <v>2175</v>
      </c>
      <c r="B630" t="s">
        <v>856</v>
      </c>
      <c r="C630" t="s">
        <v>2176</v>
      </c>
    </row>
    <row r="631" spans="1:3" x14ac:dyDescent="0.25">
      <c r="A631" t="s">
        <v>2177</v>
      </c>
      <c r="B631" t="s">
        <v>856</v>
      </c>
      <c r="C631" t="s">
        <v>2178</v>
      </c>
    </row>
    <row r="632" spans="1:3" x14ac:dyDescent="0.25">
      <c r="A632" t="s">
        <v>2179</v>
      </c>
      <c r="B632" t="s">
        <v>856</v>
      </c>
      <c r="C632" t="s">
        <v>2180</v>
      </c>
    </row>
    <row r="633" spans="1:3" x14ac:dyDescent="0.25">
      <c r="A633" t="s">
        <v>2181</v>
      </c>
      <c r="B633" t="s">
        <v>856</v>
      </c>
      <c r="C633" t="s">
        <v>2182</v>
      </c>
    </row>
    <row r="634" spans="1:3" x14ac:dyDescent="0.25">
      <c r="A634" t="s">
        <v>2183</v>
      </c>
      <c r="B634" t="s">
        <v>856</v>
      </c>
      <c r="C634" t="s">
        <v>2184</v>
      </c>
    </row>
    <row r="635" spans="1:3" x14ac:dyDescent="0.25">
      <c r="A635" t="s">
        <v>2185</v>
      </c>
      <c r="B635" t="s">
        <v>857</v>
      </c>
      <c r="C635" t="s">
        <v>2186</v>
      </c>
    </row>
    <row r="636" spans="1:3" x14ac:dyDescent="0.25">
      <c r="A636" t="s">
        <v>2187</v>
      </c>
      <c r="B636" t="s">
        <v>856</v>
      </c>
      <c r="C636" t="s">
        <v>2188</v>
      </c>
    </row>
    <row r="637" spans="1:3" x14ac:dyDescent="0.25">
      <c r="A637" t="s">
        <v>2189</v>
      </c>
      <c r="B637" t="s">
        <v>856</v>
      </c>
      <c r="C637" t="s">
        <v>2190</v>
      </c>
    </row>
    <row r="638" spans="1:3" x14ac:dyDescent="0.25">
      <c r="A638" t="s">
        <v>2191</v>
      </c>
      <c r="B638" t="s">
        <v>856</v>
      </c>
      <c r="C638" t="s">
        <v>2192</v>
      </c>
    </row>
    <row r="639" spans="1:3" x14ac:dyDescent="0.25">
      <c r="A639" t="s">
        <v>2193</v>
      </c>
      <c r="B639" t="s">
        <v>856</v>
      </c>
      <c r="C639" t="s">
        <v>2194</v>
      </c>
    </row>
    <row r="640" spans="1:3" x14ac:dyDescent="0.25">
      <c r="A640" t="s">
        <v>2195</v>
      </c>
      <c r="B640" t="s">
        <v>857</v>
      </c>
      <c r="C640" t="s">
        <v>2196</v>
      </c>
    </row>
    <row r="641" spans="1:3" x14ac:dyDescent="0.25">
      <c r="A641" t="s">
        <v>2197</v>
      </c>
      <c r="B641" t="s">
        <v>857</v>
      </c>
      <c r="C641" t="s">
        <v>2198</v>
      </c>
    </row>
    <row r="642" spans="1:3" x14ac:dyDescent="0.25">
      <c r="A642" t="s">
        <v>2199</v>
      </c>
      <c r="B642" t="s">
        <v>856</v>
      </c>
      <c r="C642" t="s">
        <v>2200</v>
      </c>
    </row>
    <row r="643" spans="1:3" x14ac:dyDescent="0.25">
      <c r="A643" t="s">
        <v>2201</v>
      </c>
      <c r="B643" t="s">
        <v>856</v>
      </c>
      <c r="C643" t="s">
        <v>2202</v>
      </c>
    </row>
    <row r="644" spans="1:3" x14ac:dyDescent="0.25">
      <c r="A644" t="s">
        <v>2203</v>
      </c>
      <c r="B644" t="s">
        <v>856</v>
      </c>
      <c r="C644" t="s">
        <v>2204</v>
      </c>
    </row>
    <row r="645" spans="1:3" x14ac:dyDescent="0.25">
      <c r="A645" t="s">
        <v>2205</v>
      </c>
      <c r="B645" t="s">
        <v>857</v>
      </c>
      <c r="C645" t="s">
        <v>2206</v>
      </c>
    </row>
    <row r="646" spans="1:3" x14ac:dyDescent="0.25">
      <c r="A646" t="s">
        <v>2207</v>
      </c>
      <c r="B646" t="s">
        <v>856</v>
      </c>
      <c r="C646" t="s">
        <v>2208</v>
      </c>
    </row>
    <row r="647" spans="1:3" x14ac:dyDescent="0.25">
      <c r="A647" t="s">
        <v>2209</v>
      </c>
      <c r="B647" t="s">
        <v>856</v>
      </c>
      <c r="C647" t="s">
        <v>2210</v>
      </c>
    </row>
    <row r="648" spans="1:3" x14ac:dyDescent="0.25">
      <c r="A648" t="s">
        <v>2211</v>
      </c>
      <c r="B648" t="s">
        <v>857</v>
      </c>
      <c r="C648" t="s">
        <v>2212</v>
      </c>
    </row>
    <row r="649" spans="1:3" x14ac:dyDescent="0.25">
      <c r="A649" t="s">
        <v>2213</v>
      </c>
      <c r="B649" t="s">
        <v>857</v>
      </c>
      <c r="C649" t="s">
        <v>2214</v>
      </c>
    </row>
    <row r="650" spans="1:3" x14ac:dyDescent="0.25">
      <c r="A650" t="s">
        <v>2215</v>
      </c>
      <c r="B650" t="s">
        <v>856</v>
      </c>
      <c r="C650" t="s">
        <v>2216</v>
      </c>
    </row>
    <row r="651" spans="1:3" x14ac:dyDescent="0.25">
      <c r="A651" t="s">
        <v>2217</v>
      </c>
      <c r="B651" t="s">
        <v>857</v>
      </c>
      <c r="C651" t="s">
        <v>2218</v>
      </c>
    </row>
    <row r="652" spans="1:3" x14ac:dyDescent="0.25">
      <c r="A652" t="s">
        <v>2219</v>
      </c>
      <c r="B652" t="s">
        <v>856</v>
      </c>
      <c r="C652" t="s">
        <v>2220</v>
      </c>
    </row>
    <row r="653" spans="1:3" x14ac:dyDescent="0.25">
      <c r="A653" t="s">
        <v>2221</v>
      </c>
      <c r="B653" t="s">
        <v>856</v>
      </c>
      <c r="C653" t="s">
        <v>2222</v>
      </c>
    </row>
    <row r="654" spans="1:3" x14ac:dyDescent="0.25">
      <c r="A654" t="s">
        <v>2223</v>
      </c>
      <c r="B654" t="s">
        <v>856</v>
      </c>
      <c r="C654" t="s">
        <v>2224</v>
      </c>
    </row>
    <row r="655" spans="1:3" x14ac:dyDescent="0.25">
      <c r="A655" t="s">
        <v>2225</v>
      </c>
      <c r="B655" t="s">
        <v>856</v>
      </c>
      <c r="C655" t="s">
        <v>2226</v>
      </c>
    </row>
    <row r="656" spans="1:3" x14ac:dyDescent="0.25">
      <c r="A656" t="s">
        <v>2227</v>
      </c>
      <c r="B656" t="s">
        <v>856</v>
      </c>
      <c r="C656" t="s">
        <v>2228</v>
      </c>
    </row>
    <row r="657" spans="1:3" x14ac:dyDescent="0.25">
      <c r="A657" t="s">
        <v>2229</v>
      </c>
      <c r="B657" t="s">
        <v>856</v>
      </c>
      <c r="C657" t="s">
        <v>2230</v>
      </c>
    </row>
    <row r="658" spans="1:3" x14ac:dyDescent="0.25">
      <c r="A658" t="s">
        <v>2231</v>
      </c>
      <c r="B658" t="s">
        <v>857</v>
      </c>
      <c r="C658" t="s">
        <v>2232</v>
      </c>
    </row>
    <row r="659" spans="1:3" x14ac:dyDescent="0.25">
      <c r="A659" t="s">
        <v>2233</v>
      </c>
      <c r="B659" t="s">
        <v>856</v>
      </c>
      <c r="C659" t="s">
        <v>2234</v>
      </c>
    </row>
    <row r="660" spans="1:3" x14ac:dyDescent="0.25">
      <c r="A660" t="s">
        <v>2235</v>
      </c>
      <c r="B660" t="s">
        <v>856</v>
      </c>
      <c r="C660" t="s">
        <v>2236</v>
      </c>
    </row>
    <row r="661" spans="1:3" x14ac:dyDescent="0.25">
      <c r="A661" t="s">
        <v>2237</v>
      </c>
      <c r="B661" t="s">
        <v>856</v>
      </c>
      <c r="C661" t="s">
        <v>2238</v>
      </c>
    </row>
    <row r="662" spans="1:3" x14ac:dyDescent="0.25">
      <c r="A662" t="s">
        <v>2239</v>
      </c>
      <c r="B662" t="s">
        <v>857</v>
      </c>
      <c r="C662" t="s">
        <v>2240</v>
      </c>
    </row>
    <row r="663" spans="1:3" x14ac:dyDescent="0.25">
      <c r="A663" t="s">
        <v>2241</v>
      </c>
      <c r="B663" t="s">
        <v>856</v>
      </c>
      <c r="C663" t="s">
        <v>2242</v>
      </c>
    </row>
    <row r="664" spans="1:3" x14ac:dyDescent="0.25">
      <c r="A664" t="s">
        <v>2243</v>
      </c>
      <c r="B664" t="s">
        <v>857</v>
      </c>
      <c r="C664" t="s">
        <v>2244</v>
      </c>
    </row>
    <row r="665" spans="1:3" x14ac:dyDescent="0.25">
      <c r="A665" t="s">
        <v>2245</v>
      </c>
      <c r="B665" t="s">
        <v>856</v>
      </c>
      <c r="C665" t="s">
        <v>2246</v>
      </c>
    </row>
    <row r="666" spans="1:3" x14ac:dyDescent="0.25">
      <c r="A666" t="s">
        <v>2247</v>
      </c>
      <c r="B666" t="s">
        <v>857</v>
      </c>
      <c r="C666" t="s">
        <v>2248</v>
      </c>
    </row>
    <row r="667" spans="1:3" x14ac:dyDescent="0.25">
      <c r="A667" t="s">
        <v>2249</v>
      </c>
      <c r="B667" t="s">
        <v>857</v>
      </c>
      <c r="C667" t="s">
        <v>2250</v>
      </c>
    </row>
    <row r="668" spans="1:3" x14ac:dyDescent="0.25">
      <c r="A668" t="s">
        <v>2251</v>
      </c>
      <c r="B668" t="s">
        <v>856</v>
      </c>
      <c r="C668" t="s">
        <v>2252</v>
      </c>
    </row>
    <row r="669" spans="1:3" x14ac:dyDescent="0.25">
      <c r="A669" t="s">
        <v>2253</v>
      </c>
      <c r="B669" t="s">
        <v>856</v>
      </c>
      <c r="C669" t="s">
        <v>2254</v>
      </c>
    </row>
    <row r="670" spans="1:3" x14ac:dyDescent="0.25">
      <c r="A670" t="s">
        <v>2255</v>
      </c>
      <c r="B670" t="s">
        <v>856</v>
      </c>
      <c r="C670" t="s">
        <v>2256</v>
      </c>
    </row>
    <row r="671" spans="1:3" x14ac:dyDescent="0.25">
      <c r="A671" t="s">
        <v>2257</v>
      </c>
      <c r="B671" t="s">
        <v>856</v>
      </c>
      <c r="C671" t="s">
        <v>2258</v>
      </c>
    </row>
    <row r="672" spans="1:3" x14ac:dyDescent="0.25">
      <c r="A672" t="s">
        <v>2259</v>
      </c>
      <c r="B672" t="s">
        <v>857</v>
      </c>
      <c r="C672" t="s">
        <v>2260</v>
      </c>
    </row>
    <row r="673" spans="1:3" x14ac:dyDescent="0.25">
      <c r="A673" t="s">
        <v>2261</v>
      </c>
      <c r="B673" t="s">
        <v>857</v>
      </c>
      <c r="C673" t="s">
        <v>2262</v>
      </c>
    </row>
    <row r="674" spans="1:3" x14ac:dyDescent="0.25">
      <c r="A674" t="s">
        <v>2263</v>
      </c>
      <c r="B674" t="s">
        <v>856</v>
      </c>
      <c r="C674" t="s">
        <v>2264</v>
      </c>
    </row>
    <row r="675" spans="1:3" x14ac:dyDescent="0.25">
      <c r="A675" t="s">
        <v>2265</v>
      </c>
      <c r="B675" t="s">
        <v>857</v>
      </c>
      <c r="C675" t="s">
        <v>2266</v>
      </c>
    </row>
    <row r="676" spans="1:3" x14ac:dyDescent="0.25">
      <c r="A676" t="s">
        <v>2267</v>
      </c>
      <c r="B676" t="s">
        <v>856</v>
      </c>
      <c r="C676" t="s">
        <v>2268</v>
      </c>
    </row>
    <row r="677" spans="1:3" x14ac:dyDescent="0.25">
      <c r="A677" t="s">
        <v>2269</v>
      </c>
      <c r="B677" t="s">
        <v>856</v>
      </c>
      <c r="C677" t="s">
        <v>2270</v>
      </c>
    </row>
    <row r="678" spans="1:3" x14ac:dyDescent="0.25">
      <c r="A678" t="s">
        <v>2271</v>
      </c>
      <c r="B678" t="s">
        <v>856</v>
      </c>
      <c r="C678" t="s">
        <v>2272</v>
      </c>
    </row>
    <row r="679" spans="1:3" x14ac:dyDescent="0.25">
      <c r="A679" t="s">
        <v>2273</v>
      </c>
      <c r="B679" t="s">
        <v>856</v>
      </c>
      <c r="C679" t="s">
        <v>2274</v>
      </c>
    </row>
    <row r="680" spans="1:3" x14ac:dyDescent="0.25">
      <c r="A680" t="s">
        <v>2275</v>
      </c>
      <c r="B680" t="s">
        <v>857</v>
      </c>
      <c r="C680" t="s">
        <v>2276</v>
      </c>
    </row>
    <row r="681" spans="1:3" x14ac:dyDescent="0.25">
      <c r="A681" t="s">
        <v>2277</v>
      </c>
      <c r="B681" t="s">
        <v>856</v>
      </c>
      <c r="C681" t="s">
        <v>2278</v>
      </c>
    </row>
    <row r="682" spans="1:3" x14ac:dyDescent="0.25">
      <c r="A682" t="s">
        <v>2279</v>
      </c>
      <c r="B682" t="s">
        <v>857</v>
      </c>
      <c r="C682" t="s">
        <v>2280</v>
      </c>
    </row>
    <row r="683" spans="1:3" x14ac:dyDescent="0.25">
      <c r="A683" t="s">
        <v>2281</v>
      </c>
      <c r="B683" t="s">
        <v>857</v>
      </c>
      <c r="C683" t="s">
        <v>2282</v>
      </c>
    </row>
    <row r="684" spans="1:3" x14ac:dyDescent="0.25">
      <c r="A684" t="s">
        <v>2283</v>
      </c>
      <c r="B684" t="s">
        <v>857</v>
      </c>
      <c r="C684" t="s">
        <v>2284</v>
      </c>
    </row>
    <row r="685" spans="1:3" x14ac:dyDescent="0.25">
      <c r="A685" t="s">
        <v>2285</v>
      </c>
      <c r="B685" t="s">
        <v>856</v>
      </c>
      <c r="C685" t="s">
        <v>2286</v>
      </c>
    </row>
    <row r="686" spans="1:3" x14ac:dyDescent="0.25">
      <c r="A686" t="s">
        <v>2287</v>
      </c>
      <c r="B686" t="s">
        <v>856</v>
      </c>
      <c r="C686" t="s">
        <v>2288</v>
      </c>
    </row>
    <row r="687" spans="1:3" x14ac:dyDescent="0.25">
      <c r="A687" t="s">
        <v>2289</v>
      </c>
      <c r="B687" t="s">
        <v>856</v>
      </c>
      <c r="C687" t="s">
        <v>2290</v>
      </c>
    </row>
    <row r="688" spans="1:3" x14ac:dyDescent="0.25">
      <c r="A688" t="s">
        <v>2291</v>
      </c>
      <c r="B688" t="s">
        <v>857</v>
      </c>
      <c r="C688" t="s">
        <v>2292</v>
      </c>
    </row>
    <row r="689" spans="1:3" x14ac:dyDescent="0.25">
      <c r="A689" t="s">
        <v>2293</v>
      </c>
      <c r="B689" t="s">
        <v>857</v>
      </c>
      <c r="C689" t="s">
        <v>2294</v>
      </c>
    </row>
    <row r="690" spans="1:3" x14ac:dyDescent="0.25">
      <c r="A690" t="s">
        <v>2295</v>
      </c>
      <c r="B690" t="s">
        <v>856</v>
      </c>
      <c r="C690" t="s">
        <v>2296</v>
      </c>
    </row>
    <row r="691" spans="1:3" x14ac:dyDescent="0.25">
      <c r="A691" t="s">
        <v>2297</v>
      </c>
      <c r="B691" t="s">
        <v>856</v>
      </c>
      <c r="C691" t="s">
        <v>2298</v>
      </c>
    </row>
    <row r="692" spans="1:3" x14ac:dyDescent="0.25">
      <c r="A692" t="s">
        <v>2299</v>
      </c>
      <c r="B692" t="s">
        <v>857</v>
      </c>
      <c r="C692" t="s">
        <v>2300</v>
      </c>
    </row>
    <row r="693" spans="1:3" x14ac:dyDescent="0.25">
      <c r="A693" t="s">
        <v>2301</v>
      </c>
      <c r="B693" t="s">
        <v>857</v>
      </c>
      <c r="C693" t="s">
        <v>2302</v>
      </c>
    </row>
    <row r="694" spans="1:3" x14ac:dyDescent="0.25">
      <c r="A694" t="s">
        <v>2303</v>
      </c>
      <c r="B694" t="s">
        <v>857</v>
      </c>
      <c r="C694" t="s">
        <v>2304</v>
      </c>
    </row>
    <row r="695" spans="1:3" x14ac:dyDescent="0.25">
      <c r="A695" t="s">
        <v>2305</v>
      </c>
      <c r="B695" t="s">
        <v>857</v>
      </c>
      <c r="C695" t="s">
        <v>2306</v>
      </c>
    </row>
    <row r="696" spans="1:3" x14ac:dyDescent="0.25">
      <c r="A696" t="s">
        <v>2307</v>
      </c>
      <c r="B696" t="s">
        <v>856</v>
      </c>
      <c r="C696" t="s">
        <v>2308</v>
      </c>
    </row>
    <row r="697" spans="1:3" x14ac:dyDescent="0.25">
      <c r="A697" t="s">
        <v>2309</v>
      </c>
      <c r="B697" t="s">
        <v>857</v>
      </c>
      <c r="C697" t="s">
        <v>2310</v>
      </c>
    </row>
    <row r="698" spans="1:3" x14ac:dyDescent="0.25">
      <c r="A698" t="s">
        <v>2311</v>
      </c>
      <c r="B698" t="s">
        <v>857</v>
      </c>
      <c r="C698" t="s">
        <v>2312</v>
      </c>
    </row>
    <row r="699" spans="1:3" x14ac:dyDescent="0.25">
      <c r="A699" t="s">
        <v>2313</v>
      </c>
      <c r="B699" t="s">
        <v>856</v>
      </c>
      <c r="C699" t="s">
        <v>2314</v>
      </c>
    </row>
    <row r="700" spans="1:3" x14ac:dyDescent="0.25">
      <c r="A700" t="s">
        <v>2315</v>
      </c>
      <c r="B700" t="s">
        <v>856</v>
      </c>
      <c r="C700" t="s">
        <v>2316</v>
      </c>
    </row>
    <row r="701" spans="1:3" x14ac:dyDescent="0.25">
      <c r="A701" t="s">
        <v>2317</v>
      </c>
      <c r="B701" t="s">
        <v>857</v>
      </c>
      <c r="C701" t="s">
        <v>2318</v>
      </c>
    </row>
    <row r="702" spans="1:3" x14ac:dyDescent="0.25">
      <c r="A702" t="s">
        <v>2319</v>
      </c>
      <c r="B702" t="s">
        <v>856</v>
      </c>
      <c r="C702" t="s">
        <v>2320</v>
      </c>
    </row>
    <row r="703" spans="1:3" x14ac:dyDescent="0.25">
      <c r="A703" t="s">
        <v>2321</v>
      </c>
      <c r="B703" t="s">
        <v>857</v>
      </c>
      <c r="C703" t="s">
        <v>2322</v>
      </c>
    </row>
    <row r="704" spans="1:3" x14ac:dyDescent="0.25">
      <c r="A704" t="s">
        <v>2323</v>
      </c>
      <c r="B704" t="s">
        <v>856</v>
      </c>
      <c r="C704" t="s">
        <v>2324</v>
      </c>
    </row>
  </sheetData>
  <sheetProtection algorithmName="SHA-512" hashValue="a1JIl2DoezCxMoTkmnpEVAHKzalzCHFy2clmIKbZsX5Y+y8Jkuxz1Ae6FgoimClz39tcrUbuH6gewxi+ssFwGg==" saltValue="aSpl1fmARy0C5d8lzQdlyg==" spinCount="100000" sheet="1" objects="1" scenarios="1"/>
  <mergeCells count="2">
    <mergeCell ref="A1:C1"/>
    <mergeCell ref="A3:C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tint="0.14999847407452621"/>
  </sheetPr>
  <dimension ref="A1:AE5"/>
  <sheetViews>
    <sheetView workbookViewId="0">
      <selection activeCell="I14" sqref="I14"/>
    </sheetView>
  </sheetViews>
  <sheetFormatPr baseColWidth="10" defaultColWidth="9.140625" defaultRowHeight="14.25" x14ac:dyDescent="0.2"/>
  <cols>
    <col min="1" max="1" width="13.85546875" style="630" customWidth="1"/>
    <col min="2" max="2" width="16.42578125" style="630" bestFit="1" customWidth="1"/>
    <col min="3" max="20" width="13.85546875" style="630" customWidth="1"/>
    <col min="21" max="21" width="30.5703125" style="630" bestFit="1" customWidth="1"/>
    <col min="22" max="24" width="13.85546875" style="630" customWidth="1"/>
    <col min="25" max="25" width="16.5703125" style="630" customWidth="1"/>
    <col min="26" max="31" width="13.85546875" style="630" customWidth="1"/>
    <col min="32" max="16384" width="9.140625" style="630"/>
  </cols>
  <sheetData>
    <row r="1" spans="1:31" ht="15" x14ac:dyDescent="0.25">
      <c r="A1" s="629" t="s">
        <v>2856</v>
      </c>
    </row>
    <row r="2" spans="1:31" ht="15" x14ac:dyDescent="0.25">
      <c r="S2" s="631" t="s">
        <v>2839</v>
      </c>
      <c r="Y2" s="628" t="s">
        <v>2852</v>
      </c>
      <c r="Z2" s="632" t="s">
        <v>2836</v>
      </c>
      <c r="AA2" s="632" t="s">
        <v>2836</v>
      </c>
      <c r="AE2" s="633" t="s">
        <v>2840</v>
      </c>
    </row>
    <row r="3" spans="1:31" x14ac:dyDescent="0.2">
      <c r="A3" s="415"/>
      <c r="B3" s="1186" t="s">
        <v>878</v>
      </c>
      <c r="C3" s="1186"/>
      <c r="D3" s="1186"/>
      <c r="E3" s="1186"/>
      <c r="F3" s="1186"/>
      <c r="G3" s="1186"/>
      <c r="H3" s="1186"/>
      <c r="I3" s="1186"/>
      <c r="J3" s="1186"/>
      <c r="K3" s="1186"/>
      <c r="L3" s="1187" t="s">
        <v>33</v>
      </c>
      <c r="M3" s="1187"/>
      <c r="N3" s="1187"/>
      <c r="O3" s="1187" t="s">
        <v>879</v>
      </c>
      <c r="P3" s="1187"/>
      <c r="Q3" s="1187"/>
      <c r="R3" s="1188" t="s">
        <v>880</v>
      </c>
      <c r="S3" s="1188"/>
      <c r="T3" s="1188"/>
      <c r="U3" s="1188"/>
      <c r="V3" s="1188"/>
      <c r="W3" s="1188"/>
      <c r="X3" s="1188"/>
      <c r="Y3" s="1188"/>
      <c r="Z3" s="1188"/>
      <c r="AA3" s="1188"/>
      <c r="AB3" s="1189" t="s">
        <v>178</v>
      </c>
      <c r="AC3" s="1189"/>
      <c r="AD3" s="612"/>
      <c r="AE3" s="613"/>
    </row>
    <row r="4" spans="1:31" ht="76.5" x14ac:dyDescent="0.2">
      <c r="A4" s="416" t="s">
        <v>881</v>
      </c>
      <c r="B4" s="417" t="s">
        <v>882</v>
      </c>
      <c r="C4" s="418" t="s">
        <v>883</v>
      </c>
      <c r="D4" s="418" t="s">
        <v>884</v>
      </c>
      <c r="E4" s="417" t="s">
        <v>885</v>
      </c>
      <c r="F4" s="418" t="s">
        <v>886</v>
      </c>
      <c r="G4" s="418" t="s">
        <v>887</v>
      </c>
      <c r="H4" s="418" t="s">
        <v>888</v>
      </c>
      <c r="I4" s="419" t="s">
        <v>889</v>
      </c>
      <c r="J4" s="418" t="s">
        <v>890</v>
      </c>
      <c r="K4" s="418" t="s">
        <v>891</v>
      </c>
      <c r="L4" s="420" t="s">
        <v>892</v>
      </c>
      <c r="M4" s="420" t="s">
        <v>893</v>
      </c>
      <c r="N4" s="420" t="s">
        <v>894</v>
      </c>
      <c r="O4" s="420" t="s">
        <v>895</v>
      </c>
      <c r="P4" s="420" t="s">
        <v>896</v>
      </c>
      <c r="Q4" s="420" t="s">
        <v>897</v>
      </c>
      <c r="R4" s="421" t="s">
        <v>898</v>
      </c>
      <c r="S4" s="422" t="s">
        <v>899</v>
      </c>
      <c r="T4" s="423" t="s">
        <v>900</v>
      </c>
      <c r="U4" s="422" t="s">
        <v>901</v>
      </c>
      <c r="V4" s="422" t="s">
        <v>902</v>
      </c>
      <c r="W4" s="422" t="s">
        <v>903</v>
      </c>
      <c r="X4" s="422" t="s">
        <v>904</v>
      </c>
      <c r="Y4" s="424" t="s">
        <v>2837</v>
      </c>
      <c r="Z4" s="422" t="s">
        <v>905</v>
      </c>
      <c r="AA4" s="422" t="s">
        <v>906</v>
      </c>
      <c r="AB4" s="425" t="s">
        <v>907</v>
      </c>
      <c r="AC4" s="426" t="s">
        <v>908</v>
      </c>
      <c r="AD4" s="427" t="s">
        <v>909</v>
      </c>
      <c r="AE4" s="614" t="s">
        <v>2838</v>
      </c>
    </row>
    <row r="5" spans="1:31" s="615" customFormat="1" x14ac:dyDescent="0.2">
      <c r="A5" s="615">
        <f>IFERROR(Identification!F16,"Inconnu")</f>
        <v>0</v>
      </c>
      <c r="B5" s="616">
        <f>IFERROR(Identification!F36,"Inconnu")</f>
        <v>0</v>
      </c>
      <c r="C5" s="616">
        <f>IFERROR(Identification!F34,"Inconnu")</f>
        <v>0</v>
      </c>
      <c r="D5" s="616" t="str">
        <f>IFERROR(Identification!F43 &amp; " " &amp; Identification!F45,"Inconnu")</f>
        <v xml:space="preserve"> </v>
      </c>
      <c r="E5" s="616">
        <f>IFERROR(Identification!F47,"Inconnu")</f>
        <v>0</v>
      </c>
      <c r="F5" s="615" t="str">
        <f>IFERROR(Identification!R34,"Inconnu")</f>
        <v/>
      </c>
      <c r="G5" s="615">
        <f>IFERROR(Identification!R32,"Inconnu")</f>
        <v>0</v>
      </c>
      <c r="H5" s="615">
        <f>IFERROR(Identification!F49,"Inconnu")</f>
        <v>0</v>
      </c>
      <c r="I5" s="615">
        <f>IFERROR(Identification!R43,"Inconnu")</f>
        <v>0</v>
      </c>
      <c r="J5" s="615">
        <f>IFERROR(Identification!R45,"Inconnu")</f>
        <v>0</v>
      </c>
      <c r="K5" s="615">
        <f>IFERROR(Identification!R47,"Inconnu")</f>
        <v>0</v>
      </c>
      <c r="L5" s="615">
        <f>IFERROR(Identification!T61,"Inconnu")</f>
        <v>0</v>
      </c>
      <c r="M5" s="615">
        <f>IFERROR(Identification!T63,"Inconnu")</f>
        <v>0</v>
      </c>
      <c r="N5" s="615">
        <f>IFERROR(Identification!T65,"Inconnu")</f>
        <v>0</v>
      </c>
      <c r="O5" s="615">
        <f>IFERROR(Identification!H61,"Inconnu")</f>
        <v>0</v>
      </c>
      <c r="P5" s="615">
        <f>IFERROR(Identification!H63,"Inconnu")</f>
        <v>0</v>
      </c>
      <c r="Q5" s="615">
        <f>IFERROR(Identification!H65,"Inconnu")</f>
        <v>0</v>
      </c>
      <c r="R5" s="615" t="s">
        <v>914</v>
      </c>
      <c r="S5" s="634" t="s">
        <v>2843</v>
      </c>
      <c r="T5" s="615">
        <f>IFERROR(Surfaces!O22,"Inconnu")</f>
        <v>10</v>
      </c>
      <c r="U5" s="617">
        <f>Identification!F12</f>
        <v>0</v>
      </c>
      <c r="V5" s="617">
        <f>IFERROR(Identification!R16,"Inconnu")</f>
        <v>0</v>
      </c>
      <c r="W5" s="615">
        <f>IFERROR(Identification!F86,"Inconnu")</f>
        <v>0</v>
      </c>
      <c r="X5" s="617">
        <f>IFERROR(Identification!G94,"Inconnu")</f>
        <v>0</v>
      </c>
      <c r="Y5" s="641" t="str">
        <f>IF(Identification!G89="","",Identification!G89)</f>
        <v/>
      </c>
      <c r="Z5" s="641"/>
      <c r="AA5" s="641"/>
      <c r="AB5" s="617">
        <f>IFERROR(Identification!F72,"Inconnu")</f>
        <v>0</v>
      </c>
      <c r="AC5" s="617">
        <f>IFERROR(Identification!V49,"Inconnu")</f>
        <v>0</v>
      </c>
      <c r="AD5" s="617"/>
      <c r="AE5" s="617" t="s">
        <v>2841</v>
      </c>
    </row>
  </sheetData>
  <sheetProtection algorithmName="SHA-512" hashValue="Q9P/U0BIocWtf5XChRGpdCxpKkLOkKQ7s9zl0he+ulXc37SfRMqTC2MeJLzI0j2Ao9pPPFjjW29/u7ypV/hQPg==" saltValue="1yJmwDkNv3x0ATVTZF4Cvw==" spinCount="100000" sheet="1" objects="1" scenarios="1"/>
  <mergeCells count="5">
    <mergeCell ref="B3:K3"/>
    <mergeCell ref="L3:N3"/>
    <mergeCell ref="O3:Q3"/>
    <mergeCell ref="R3:AA3"/>
    <mergeCell ref="AB3:AC3"/>
  </mergeCells>
  <conditionalFormatting sqref="B4">
    <cfRule type="duplicateValues" dxfId="1" priority="1"/>
  </conditionalFormatting>
  <pageMargins left="0.7" right="0.7" top="0.75" bottom="0.75" header="0.3" footer="0.3"/>
  <pageSetup paperSize="9" orientation="portrait" r:id="rId1"/>
  <ignoredErrors>
    <ignoredError sqref="D5"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1" tint="0.14999847407452621"/>
  </sheetPr>
  <dimension ref="A1:HJ6"/>
  <sheetViews>
    <sheetView workbookViewId="0">
      <selection activeCell="Z16" sqref="Z16"/>
    </sheetView>
  </sheetViews>
  <sheetFormatPr baseColWidth="10" defaultRowHeight="11.25" x14ac:dyDescent="0.2"/>
  <cols>
    <col min="1" max="1" width="3" style="592" customWidth="1"/>
    <col min="2" max="4" width="14.7109375" style="592" customWidth="1"/>
    <col min="5" max="8" width="12.7109375" style="592" customWidth="1"/>
    <col min="9" max="9" width="14.7109375" style="592" customWidth="1"/>
    <col min="10" max="10" width="23.7109375" style="592" customWidth="1"/>
    <col min="11" max="24" width="14.7109375" style="592" customWidth="1"/>
    <col min="25" max="25" width="23.7109375" style="592" customWidth="1"/>
    <col min="26" max="26" width="15.28515625" style="592" customWidth="1"/>
    <col min="27" max="28" width="14.7109375" style="592" customWidth="1"/>
    <col min="29" max="30" width="12.7109375" style="592" customWidth="1"/>
    <col min="31" max="31" width="26.28515625" style="592" customWidth="1"/>
    <col min="32" max="217" width="11.42578125" style="592"/>
    <col min="218" max="218" width="16.85546875" style="592" customWidth="1"/>
    <col min="219" max="16384" width="11.42578125" style="592"/>
  </cols>
  <sheetData>
    <row r="1" spans="1:218" ht="15" x14ac:dyDescent="0.25">
      <c r="A1" s="562" t="s">
        <v>2857</v>
      </c>
    </row>
    <row r="2" spans="1:218" x14ac:dyDescent="0.2">
      <c r="Z2" s="628" t="s">
        <v>2858</v>
      </c>
      <c r="AA2" s="646" t="s">
        <v>2836</v>
      </c>
      <c r="AB2" s="646" t="s">
        <v>2836</v>
      </c>
      <c r="AE2" s="646" t="s">
        <v>2836</v>
      </c>
      <c r="HJ2" s="644" t="s">
        <v>2836</v>
      </c>
    </row>
    <row r="3" spans="1:218" s="602" customFormat="1" ht="15" customHeight="1" x14ac:dyDescent="0.2">
      <c r="B3" s="1190" t="s">
        <v>2846</v>
      </c>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9" t="s">
        <v>2805</v>
      </c>
      <c r="AG3" s="1199"/>
      <c r="AH3" s="1199"/>
      <c r="AI3" s="1199"/>
      <c r="AJ3" s="1199"/>
      <c r="AK3" s="1199"/>
      <c r="AL3" s="1199"/>
      <c r="AM3" s="1199"/>
      <c r="AN3" s="1199"/>
      <c r="AO3" s="1199"/>
      <c r="AP3" s="1199"/>
      <c r="AQ3" s="1199"/>
      <c r="AR3" s="1199"/>
      <c r="AS3" s="1199" t="s">
        <v>2815</v>
      </c>
      <c r="AT3" s="1199"/>
      <c r="AU3" s="1199"/>
      <c r="AV3" s="1199"/>
      <c r="AW3" s="1199"/>
      <c r="AX3" s="1199"/>
      <c r="AY3" s="1199"/>
      <c r="AZ3" s="1199"/>
      <c r="BA3" s="1199"/>
      <c r="BB3" s="1199"/>
      <c r="BC3" s="1199"/>
      <c r="BD3" s="1199"/>
      <c r="BE3" s="1199"/>
      <c r="BF3" s="1199"/>
      <c r="BG3" s="1200" t="s">
        <v>2657</v>
      </c>
      <c r="BH3" s="1200"/>
      <c r="BI3" s="1200"/>
      <c r="BJ3" s="1200"/>
      <c r="BK3" s="1200"/>
      <c r="BL3" s="1200"/>
      <c r="BM3" s="1200"/>
      <c r="BN3" s="1200"/>
      <c r="BO3" s="1200"/>
      <c r="BP3" s="1200"/>
      <c r="BQ3" s="1200"/>
      <c r="BR3" s="1200"/>
      <c r="BS3" s="1200"/>
      <c r="BT3" s="1200"/>
      <c r="BU3" s="1200"/>
      <c r="BV3" s="1200"/>
      <c r="BW3" s="1200"/>
      <c r="BX3" s="1200"/>
      <c r="BY3" s="1200"/>
      <c r="BZ3" s="1200"/>
      <c r="CA3" s="1200"/>
      <c r="CB3" s="1200"/>
      <c r="CC3" s="1200"/>
      <c r="CD3" s="1200"/>
      <c r="CE3" s="1200"/>
      <c r="CF3" s="1200"/>
      <c r="CG3" s="1200"/>
      <c r="CH3" s="1200"/>
      <c r="CI3" s="1200"/>
      <c r="CJ3" s="1200"/>
      <c r="CK3" s="1200"/>
      <c r="CL3" s="1200"/>
      <c r="CM3" s="1200"/>
      <c r="CN3" s="1200"/>
      <c r="CO3" s="1200"/>
      <c r="CP3" s="1200"/>
      <c r="CQ3" s="1200"/>
      <c r="CR3" s="1200"/>
      <c r="CS3" s="1200"/>
      <c r="CT3" s="1200"/>
      <c r="CU3" s="1200"/>
      <c r="CV3" s="1200"/>
      <c r="CW3" s="1200"/>
      <c r="CX3" s="1206" t="s">
        <v>2697</v>
      </c>
      <c r="CY3" s="1206"/>
      <c r="CZ3" s="1206"/>
      <c r="DA3" s="1206"/>
      <c r="DB3" s="1206"/>
      <c r="DC3" s="1206"/>
      <c r="DD3" s="1206"/>
      <c r="DE3" s="1206"/>
      <c r="DF3" s="1206"/>
      <c r="DG3" s="1206"/>
      <c r="DH3" s="1206"/>
      <c r="DI3" s="1206"/>
      <c r="DJ3" s="1206"/>
      <c r="DK3" s="1206"/>
      <c r="DL3" s="1206"/>
      <c r="DM3" s="1206"/>
      <c r="DN3" s="1206"/>
      <c r="DO3" s="1206"/>
      <c r="DP3" s="1206"/>
      <c r="DQ3" s="1206"/>
      <c r="DR3" s="1206"/>
      <c r="DS3" s="1206"/>
      <c r="DT3" s="1206"/>
      <c r="DU3" s="1206"/>
      <c r="DV3" s="1206"/>
      <c r="DW3" s="1206"/>
      <c r="DX3" s="1206"/>
      <c r="DY3" s="1206"/>
      <c r="DZ3" s="1206"/>
      <c r="EA3" s="1206"/>
      <c r="EB3" s="1206"/>
      <c r="EC3" s="1206"/>
      <c r="ED3" s="1206"/>
      <c r="EE3" s="1206"/>
      <c r="EF3" s="1206"/>
      <c r="EG3" s="1206"/>
      <c r="EH3" s="1206"/>
      <c r="EI3" s="1206"/>
      <c r="EJ3" s="1206"/>
      <c r="EK3" s="1206"/>
      <c r="EL3" s="1206"/>
      <c r="EM3" s="1206"/>
      <c r="EN3" s="1206"/>
      <c r="EO3" s="1206"/>
      <c r="EP3" s="1206"/>
      <c r="EQ3" s="1206"/>
      <c r="ER3" s="1206"/>
      <c r="ES3" s="1206"/>
      <c r="ET3" s="1206"/>
      <c r="EU3" s="1206"/>
      <c r="EV3" s="1206"/>
      <c r="EW3" s="1206"/>
      <c r="EX3" s="1206"/>
      <c r="EY3" s="1206"/>
      <c r="EZ3" s="1206"/>
      <c r="FA3" s="1206"/>
      <c r="FB3" s="1206"/>
      <c r="FC3" s="1206"/>
      <c r="FD3" s="1207" t="s">
        <v>2753</v>
      </c>
      <c r="FE3" s="1207"/>
      <c r="FF3" s="1207"/>
      <c r="FG3" s="1207"/>
      <c r="FH3" s="1207"/>
      <c r="FI3" s="1207"/>
      <c r="FJ3" s="1207"/>
      <c r="FK3" s="1207"/>
      <c r="FL3" s="1207"/>
      <c r="FM3" s="1207"/>
      <c r="FN3" s="1207"/>
      <c r="FO3" s="1207"/>
      <c r="FP3" s="1207"/>
      <c r="FQ3" s="1207"/>
      <c r="FR3" s="1207"/>
      <c r="FS3" s="1207"/>
      <c r="FT3" s="1207"/>
      <c r="FU3" s="1207"/>
      <c r="FV3" s="1207"/>
      <c r="FW3" s="1207"/>
      <c r="FX3" s="1207"/>
      <c r="FY3" s="1207"/>
      <c r="FZ3" s="1207"/>
      <c r="GA3" s="1207"/>
      <c r="GB3" s="1207"/>
      <c r="GC3" s="1207"/>
      <c r="GD3" s="1207"/>
      <c r="GE3" s="1207"/>
      <c r="GF3" s="1207"/>
      <c r="GG3" s="1207"/>
      <c r="GH3" s="1207"/>
      <c r="GI3" s="1207"/>
      <c r="GJ3" s="1207"/>
      <c r="GK3" s="1207"/>
      <c r="GL3" s="1207"/>
      <c r="GM3" s="1207"/>
      <c r="GN3" s="1205" t="s">
        <v>2785</v>
      </c>
      <c r="GO3" s="1205"/>
      <c r="GP3" s="1205"/>
      <c r="GQ3" s="1205"/>
      <c r="GR3" s="1205"/>
      <c r="GS3" s="1205"/>
      <c r="GT3" s="1205"/>
      <c r="GU3" s="1205"/>
      <c r="GV3" s="1205"/>
      <c r="GW3" s="1205"/>
      <c r="GX3" s="1205"/>
      <c r="GY3" s="1205"/>
      <c r="GZ3" s="1205"/>
      <c r="HA3" s="1205"/>
      <c r="HB3" s="1205"/>
      <c r="HC3" s="1205"/>
      <c r="HD3" s="1205"/>
      <c r="HE3" s="1205"/>
      <c r="HF3" s="1205"/>
      <c r="HG3" s="1205"/>
      <c r="HH3" s="1205"/>
      <c r="HI3" s="1205"/>
      <c r="HJ3" s="1203" t="s">
        <v>2842</v>
      </c>
    </row>
    <row r="4" spans="1:218" s="602" customFormat="1" x14ac:dyDescent="0.2">
      <c r="B4" s="1191" t="s">
        <v>2845</v>
      </c>
      <c r="C4" s="1191"/>
      <c r="D4" s="1191"/>
      <c r="E4" s="1191"/>
      <c r="F4" s="1191"/>
      <c r="G4" s="1191"/>
      <c r="H4" s="1191"/>
      <c r="I4" s="1191" t="s">
        <v>878</v>
      </c>
      <c r="J4" s="1191"/>
      <c r="K4" s="1191"/>
      <c r="L4" s="1191"/>
      <c r="M4" s="1191"/>
      <c r="N4" s="1191"/>
      <c r="O4" s="1191"/>
      <c r="P4" s="1191"/>
      <c r="Q4" s="1191"/>
      <c r="R4" s="1191"/>
      <c r="S4" s="1191" t="s">
        <v>880</v>
      </c>
      <c r="T4" s="1191"/>
      <c r="U4" s="1191"/>
      <c r="V4" s="1191"/>
      <c r="W4" s="1191"/>
      <c r="X4" s="1191"/>
      <c r="Y4" s="1191"/>
      <c r="Z4" s="1191"/>
      <c r="AA4" s="1191"/>
      <c r="AB4" s="1191"/>
      <c r="AC4" s="1191" t="s">
        <v>178</v>
      </c>
      <c r="AD4" s="1191"/>
      <c r="AE4" s="1191"/>
      <c r="AF4" s="1201" t="s">
        <v>2806</v>
      </c>
      <c r="AG4" s="1201"/>
      <c r="AH4" s="1201"/>
      <c r="AI4" s="1201"/>
      <c r="AJ4" s="1201"/>
      <c r="AK4" s="1196" t="s">
        <v>2811</v>
      </c>
      <c r="AL4" s="1196"/>
      <c r="AM4" s="1196"/>
      <c r="AN4" s="1201" t="s">
        <v>2812</v>
      </c>
      <c r="AO4" s="1201"/>
      <c r="AP4" s="1201"/>
      <c r="AQ4" s="1196" t="s">
        <v>2813</v>
      </c>
      <c r="AR4" s="1196"/>
      <c r="AS4" s="1202" t="s">
        <v>2816</v>
      </c>
      <c r="AT4" s="1202"/>
      <c r="AU4" s="1196" t="s">
        <v>2818</v>
      </c>
      <c r="AV4" s="1196"/>
      <c r="AW4" s="1196"/>
      <c r="AX4" s="1196"/>
      <c r="AY4" s="1196"/>
      <c r="AZ4" s="1196"/>
      <c r="BA4" s="1196"/>
      <c r="BB4" s="1196"/>
      <c r="BC4" s="1196"/>
      <c r="BD4" s="1196"/>
      <c r="BE4" s="1196"/>
      <c r="BF4" s="1196"/>
      <c r="BG4" s="1197" t="s">
        <v>2696</v>
      </c>
      <c r="BH4" s="1197"/>
      <c r="BI4" s="1197"/>
      <c r="BJ4" s="1197"/>
      <c r="BK4" s="1197"/>
      <c r="BL4" s="1197"/>
      <c r="BM4" s="1197"/>
      <c r="BN4" s="1197"/>
      <c r="BO4" s="1197"/>
      <c r="BP4" s="1197"/>
      <c r="BQ4" s="1197"/>
      <c r="BR4" s="1197"/>
      <c r="BS4" s="1197"/>
      <c r="BT4" s="1197"/>
      <c r="BU4" s="1197"/>
      <c r="BV4" s="1197"/>
      <c r="BW4" s="1197"/>
      <c r="BX4" s="1197"/>
      <c r="BY4" s="1197"/>
      <c r="BZ4" s="1197"/>
      <c r="CA4" s="1197"/>
      <c r="CB4" s="1197"/>
      <c r="CC4" s="1197"/>
      <c r="CD4" s="1197"/>
      <c r="CE4" s="1198" t="s">
        <v>2695</v>
      </c>
      <c r="CF4" s="1198"/>
      <c r="CG4" s="1198"/>
      <c r="CH4" s="1198"/>
      <c r="CI4" s="1197" t="s">
        <v>2694</v>
      </c>
      <c r="CJ4" s="1197"/>
      <c r="CK4" s="1197"/>
      <c r="CL4" s="1198" t="s">
        <v>2693</v>
      </c>
      <c r="CM4" s="1198"/>
      <c r="CN4" s="1197" t="s">
        <v>2692</v>
      </c>
      <c r="CO4" s="1197"/>
      <c r="CP4" s="1198" t="s">
        <v>2691</v>
      </c>
      <c r="CQ4" s="1198"/>
      <c r="CR4" s="1197" t="s">
        <v>2688</v>
      </c>
      <c r="CS4" s="1197"/>
      <c r="CT4" s="1197"/>
      <c r="CU4" s="1198" t="s">
        <v>2689</v>
      </c>
      <c r="CV4" s="1198"/>
      <c r="CW4" s="1198"/>
      <c r="CX4" s="1204" t="s">
        <v>2698</v>
      </c>
      <c r="CY4" s="1204"/>
      <c r="CZ4" s="1204"/>
      <c r="DA4" s="1204"/>
      <c r="DB4" s="1208" t="s">
        <v>2702</v>
      </c>
      <c r="DC4" s="1208"/>
      <c r="DD4" s="1208"/>
      <c r="DE4" s="1208"/>
      <c r="DF4" s="1208"/>
      <c r="DG4" s="1204" t="s">
        <v>2705</v>
      </c>
      <c r="DH4" s="1204"/>
      <c r="DI4" s="1204"/>
      <c r="DJ4" s="1204"/>
      <c r="DK4" s="1204"/>
      <c r="DL4" s="1204"/>
      <c r="DM4" s="1204"/>
      <c r="DN4" s="1204"/>
      <c r="DO4" s="1204"/>
      <c r="DP4" s="1204"/>
      <c r="DQ4" s="1204"/>
      <c r="DR4" s="1204"/>
      <c r="DS4" s="1204"/>
      <c r="DT4" s="1204"/>
      <c r="DU4" s="1204"/>
      <c r="DV4" s="1208" t="s">
        <v>2768</v>
      </c>
      <c r="DW4" s="1208"/>
      <c r="DX4" s="1204" t="s">
        <v>2722</v>
      </c>
      <c r="DY4" s="1204"/>
      <c r="DZ4" s="1204"/>
      <c r="EA4" s="1204"/>
      <c r="EB4" s="1204"/>
      <c r="EC4" s="1204"/>
      <c r="ED4" s="1208" t="s">
        <v>2729</v>
      </c>
      <c r="EE4" s="1208"/>
      <c r="EF4" s="1208"/>
      <c r="EG4" s="1208"/>
      <c r="EH4" s="1208"/>
      <c r="EI4" s="1204" t="s">
        <v>2732</v>
      </c>
      <c r="EJ4" s="1204"/>
      <c r="EK4" s="1208" t="s">
        <v>2752</v>
      </c>
      <c r="EL4" s="1208"/>
      <c r="EM4" s="1208"/>
      <c r="EN4" s="1208"/>
      <c r="EO4" s="1208"/>
      <c r="EP4" s="1204" t="s">
        <v>2738</v>
      </c>
      <c r="EQ4" s="1204"/>
      <c r="ER4" s="1204"/>
      <c r="ES4" s="1204"/>
      <c r="ET4" s="1204"/>
      <c r="EU4" s="1204"/>
      <c r="EV4" s="1204"/>
      <c r="EW4" s="1208" t="s">
        <v>2743</v>
      </c>
      <c r="EX4" s="1208"/>
      <c r="EY4" s="1208"/>
      <c r="EZ4" s="1208"/>
      <c r="FA4" s="1208"/>
      <c r="FB4" s="1208"/>
      <c r="FC4" s="1208"/>
      <c r="FD4" s="1195" t="s">
        <v>2754</v>
      </c>
      <c r="FE4" s="1195"/>
      <c r="FF4" s="1195"/>
      <c r="FG4" s="1195"/>
      <c r="FH4" s="1195"/>
      <c r="FI4" s="1195"/>
      <c r="FJ4" s="1195"/>
      <c r="FK4" s="1192" t="s">
        <v>2761</v>
      </c>
      <c r="FL4" s="1192"/>
      <c r="FM4" s="1195" t="s">
        <v>2762</v>
      </c>
      <c r="FN4" s="1195"/>
      <c r="FO4" s="1192" t="s">
        <v>2763</v>
      </c>
      <c r="FP4" s="1192"/>
      <c r="FQ4" s="1192"/>
      <c r="FR4" s="1192"/>
      <c r="FS4" s="1195" t="s">
        <v>2767</v>
      </c>
      <c r="FT4" s="1195"/>
      <c r="FU4" s="1195"/>
      <c r="FV4" s="1195"/>
      <c r="FW4" s="1192" t="s">
        <v>2769</v>
      </c>
      <c r="FX4" s="1192"/>
      <c r="FY4" s="1192"/>
      <c r="FZ4" s="1192"/>
      <c r="GA4" s="1195" t="s">
        <v>2772</v>
      </c>
      <c r="GB4" s="1195"/>
      <c r="GC4" s="1195"/>
      <c r="GD4" s="1195"/>
      <c r="GE4" s="1195"/>
      <c r="GF4" s="1195"/>
      <c r="GG4" s="1195"/>
      <c r="GH4" s="1195"/>
      <c r="GI4" s="1195"/>
      <c r="GJ4" s="1195"/>
      <c r="GK4" s="1192" t="s">
        <v>2783</v>
      </c>
      <c r="GL4" s="1192"/>
      <c r="GM4" s="1192"/>
      <c r="GN4" s="1194" t="s">
        <v>2786</v>
      </c>
      <c r="GO4" s="1194"/>
      <c r="GP4" s="1193" t="s">
        <v>2789</v>
      </c>
      <c r="GQ4" s="1193"/>
      <c r="GR4" s="1193"/>
      <c r="GS4" s="1194" t="s">
        <v>2792</v>
      </c>
      <c r="GT4" s="1194"/>
      <c r="GU4" s="1194"/>
      <c r="GV4" s="1194"/>
      <c r="GW4" s="1194"/>
      <c r="GX4" s="1194"/>
      <c r="GY4" s="1194"/>
      <c r="GZ4" s="1193" t="s">
        <v>2803</v>
      </c>
      <c r="HA4" s="1193"/>
      <c r="HB4" s="1194" t="s">
        <v>2797</v>
      </c>
      <c r="HC4" s="1194"/>
      <c r="HD4" s="1193" t="s">
        <v>2799</v>
      </c>
      <c r="HE4" s="1193"/>
      <c r="HF4" s="1194" t="s">
        <v>2800</v>
      </c>
      <c r="HG4" s="1194"/>
      <c r="HH4" s="1193" t="s">
        <v>2801</v>
      </c>
      <c r="HI4" s="1193"/>
      <c r="HJ4" s="1203"/>
    </row>
    <row r="5" spans="1:218" s="593" customFormat="1" ht="45" x14ac:dyDescent="0.25">
      <c r="A5" s="593" t="s">
        <v>2835</v>
      </c>
      <c r="B5" s="618" t="s">
        <v>2820</v>
      </c>
      <c r="C5" s="618" t="s">
        <v>2821</v>
      </c>
      <c r="D5" s="618" t="s">
        <v>2809</v>
      </c>
      <c r="E5" s="618" t="s">
        <v>2819</v>
      </c>
      <c r="F5" s="618" t="s">
        <v>2822</v>
      </c>
      <c r="G5" s="618" t="s">
        <v>899</v>
      </c>
      <c r="H5" s="618" t="s">
        <v>2823</v>
      </c>
      <c r="I5" s="618" t="s">
        <v>882</v>
      </c>
      <c r="J5" s="619" t="s">
        <v>883</v>
      </c>
      <c r="K5" s="619" t="s">
        <v>884</v>
      </c>
      <c r="L5" s="618" t="s">
        <v>885</v>
      </c>
      <c r="M5" s="619" t="s">
        <v>886</v>
      </c>
      <c r="N5" s="619" t="s">
        <v>562</v>
      </c>
      <c r="O5" s="619" t="s">
        <v>888</v>
      </c>
      <c r="P5" s="620" t="s">
        <v>889</v>
      </c>
      <c r="Q5" s="619" t="s">
        <v>2847</v>
      </c>
      <c r="R5" s="619" t="s">
        <v>891</v>
      </c>
      <c r="S5" s="619" t="s">
        <v>2824</v>
      </c>
      <c r="T5" s="619" t="s">
        <v>2825</v>
      </c>
      <c r="U5" s="619" t="s">
        <v>2850</v>
      </c>
      <c r="V5" s="619" t="s">
        <v>2848</v>
      </c>
      <c r="W5" s="619" t="s">
        <v>2849</v>
      </c>
      <c r="X5" s="619" t="s">
        <v>903</v>
      </c>
      <c r="Y5" s="619" t="s">
        <v>904</v>
      </c>
      <c r="Z5" s="621" t="s">
        <v>2851</v>
      </c>
      <c r="AA5" s="619" t="s">
        <v>905</v>
      </c>
      <c r="AB5" s="619" t="s">
        <v>906</v>
      </c>
      <c r="AC5" s="619" t="s">
        <v>907</v>
      </c>
      <c r="AD5" s="619" t="s">
        <v>2844</v>
      </c>
      <c r="AE5" s="622" t="s">
        <v>2842</v>
      </c>
      <c r="AF5" s="608" t="s">
        <v>2807</v>
      </c>
      <c r="AG5" s="608" t="s">
        <v>2808</v>
      </c>
      <c r="AH5" s="608" t="s">
        <v>2809</v>
      </c>
      <c r="AI5" s="608" t="s">
        <v>2810</v>
      </c>
      <c r="AJ5" s="608" t="s">
        <v>2819</v>
      </c>
      <c r="AK5" s="611" t="s">
        <v>562</v>
      </c>
      <c r="AL5" s="611" t="s">
        <v>291</v>
      </c>
      <c r="AM5" s="611" t="s">
        <v>49</v>
      </c>
      <c r="AN5" s="608" t="s">
        <v>879</v>
      </c>
      <c r="AO5" s="608" t="s">
        <v>33</v>
      </c>
      <c r="AP5" s="608" t="s">
        <v>2440</v>
      </c>
      <c r="AQ5" s="611" t="s">
        <v>2814</v>
      </c>
      <c r="AR5" s="611" t="s">
        <v>2525</v>
      </c>
      <c r="AS5" s="608" t="s">
        <v>2817</v>
      </c>
      <c r="AT5" s="608" t="s">
        <v>2818</v>
      </c>
      <c r="AU5" s="611" t="s">
        <v>102</v>
      </c>
      <c r="AV5" s="611" t="s">
        <v>109</v>
      </c>
      <c r="AW5" s="611" t="s">
        <v>2829</v>
      </c>
      <c r="AX5" s="611" t="s">
        <v>2530</v>
      </c>
      <c r="AY5" s="611" t="s">
        <v>2830</v>
      </c>
      <c r="AZ5" s="611" t="s">
        <v>2831</v>
      </c>
      <c r="BA5" s="611" t="s">
        <v>2832</v>
      </c>
      <c r="BB5" s="611" t="s">
        <v>2833</v>
      </c>
      <c r="BC5" s="611" t="s">
        <v>312</v>
      </c>
      <c r="BD5" s="611" t="s">
        <v>314</v>
      </c>
      <c r="BE5" s="611" t="s">
        <v>2834</v>
      </c>
      <c r="BF5" s="611" t="s">
        <v>35</v>
      </c>
      <c r="BG5" s="598" t="s">
        <v>2667</v>
      </c>
      <c r="BH5" s="598" t="s">
        <v>2658</v>
      </c>
      <c r="BI5" s="598" t="s">
        <v>2661</v>
      </c>
      <c r="BJ5" s="598" t="s">
        <v>2662</v>
      </c>
      <c r="BK5" s="598" t="s">
        <v>2663</v>
      </c>
      <c r="BL5" s="598" t="s">
        <v>2664</v>
      </c>
      <c r="BM5" s="598" t="s">
        <v>2665</v>
      </c>
      <c r="BN5" s="598" t="s">
        <v>2666</v>
      </c>
      <c r="BO5" s="598" t="s">
        <v>2853</v>
      </c>
      <c r="BP5" s="598" t="s">
        <v>2668</v>
      </c>
      <c r="BQ5" s="598" t="s">
        <v>2669</v>
      </c>
      <c r="BR5" s="598" t="s">
        <v>2670</v>
      </c>
      <c r="BS5" s="598" t="s">
        <v>2671</v>
      </c>
      <c r="BT5" s="598" t="s">
        <v>2672</v>
      </c>
      <c r="BU5" s="598" t="s">
        <v>2673</v>
      </c>
      <c r="BV5" s="598" t="s">
        <v>2674</v>
      </c>
      <c r="BW5" s="598" t="s">
        <v>2675</v>
      </c>
      <c r="BX5" s="598" t="s">
        <v>2676</v>
      </c>
      <c r="BY5" s="598" t="s">
        <v>2677</v>
      </c>
      <c r="BZ5" s="598" t="s">
        <v>2678</v>
      </c>
      <c r="CA5" s="598" t="s">
        <v>2659</v>
      </c>
      <c r="CB5" s="598" t="s">
        <v>2854</v>
      </c>
      <c r="CC5" s="598" t="s">
        <v>2855</v>
      </c>
      <c r="CD5" s="598" t="s">
        <v>2660</v>
      </c>
      <c r="CE5" s="597" t="s">
        <v>2679</v>
      </c>
      <c r="CF5" s="597" t="s">
        <v>2680</v>
      </c>
      <c r="CG5" s="597" t="s">
        <v>257</v>
      </c>
      <c r="CH5" s="597" t="s">
        <v>2681</v>
      </c>
      <c r="CI5" s="598" t="s">
        <v>257</v>
      </c>
      <c r="CJ5" s="598" t="s">
        <v>2681</v>
      </c>
      <c r="CK5" s="598" t="s">
        <v>2684</v>
      </c>
      <c r="CL5" s="597" t="s">
        <v>2682</v>
      </c>
      <c r="CM5" s="597" t="s">
        <v>2681</v>
      </c>
      <c r="CN5" s="598" t="s">
        <v>2682</v>
      </c>
      <c r="CO5" s="598" t="s">
        <v>2681</v>
      </c>
      <c r="CP5" s="597" t="s">
        <v>2685</v>
      </c>
      <c r="CQ5" s="597" t="s">
        <v>2681</v>
      </c>
      <c r="CR5" s="598" t="s">
        <v>2690</v>
      </c>
      <c r="CS5" s="598" t="s">
        <v>2683</v>
      </c>
      <c r="CT5" s="598" t="s">
        <v>2681</v>
      </c>
      <c r="CU5" s="597" t="s">
        <v>2687</v>
      </c>
      <c r="CV5" s="597" t="s">
        <v>2686</v>
      </c>
      <c r="CW5" s="597" t="s">
        <v>2681</v>
      </c>
      <c r="CX5" s="596" t="s">
        <v>2699</v>
      </c>
      <c r="CY5" s="596" t="s">
        <v>2700</v>
      </c>
      <c r="CZ5" s="596" t="s">
        <v>2701</v>
      </c>
      <c r="DA5" s="596" t="s">
        <v>2681</v>
      </c>
      <c r="DB5" s="603" t="s">
        <v>2703</v>
      </c>
      <c r="DC5" s="603" t="s">
        <v>2680</v>
      </c>
      <c r="DD5" s="603" t="s">
        <v>2704</v>
      </c>
      <c r="DE5" s="603" t="s">
        <v>257</v>
      </c>
      <c r="DF5" s="603" t="s">
        <v>2681</v>
      </c>
      <c r="DG5" s="596" t="s">
        <v>2706</v>
      </c>
      <c r="DH5" s="596" t="s">
        <v>2707</v>
      </c>
      <c r="DI5" s="596" t="s">
        <v>2708</v>
      </c>
      <c r="DJ5" s="596" t="s">
        <v>2709</v>
      </c>
      <c r="DK5" s="596" t="s">
        <v>2710</v>
      </c>
      <c r="DL5" s="596" t="s">
        <v>2711</v>
      </c>
      <c r="DM5" s="596" t="s">
        <v>2712</v>
      </c>
      <c r="DN5" s="596" t="s">
        <v>2713</v>
      </c>
      <c r="DO5" s="596" t="s">
        <v>2714</v>
      </c>
      <c r="DP5" s="596" t="s">
        <v>2715</v>
      </c>
      <c r="DQ5" s="596" t="s">
        <v>2716</v>
      </c>
      <c r="DR5" s="596" t="s">
        <v>2717</v>
      </c>
      <c r="DS5" s="596" t="s">
        <v>2718</v>
      </c>
      <c r="DT5" s="596" t="s">
        <v>2719</v>
      </c>
      <c r="DU5" s="596" t="s">
        <v>2720</v>
      </c>
      <c r="DV5" s="603" t="s">
        <v>2681</v>
      </c>
      <c r="DW5" s="603" t="s">
        <v>2721</v>
      </c>
      <c r="DX5" s="596" t="s">
        <v>2723</v>
      </c>
      <c r="DY5" s="596" t="s">
        <v>2724</v>
      </c>
      <c r="DZ5" s="596" t="s">
        <v>2725</v>
      </c>
      <c r="EA5" s="596" t="s">
        <v>2726</v>
      </c>
      <c r="EB5" s="596" t="s">
        <v>2727</v>
      </c>
      <c r="EC5" s="596" t="s">
        <v>2728</v>
      </c>
      <c r="ED5" s="603" t="s">
        <v>2750</v>
      </c>
      <c r="EE5" s="603" t="s">
        <v>2751</v>
      </c>
      <c r="EF5" s="603" t="s">
        <v>2730</v>
      </c>
      <c r="EG5" s="603" t="s">
        <v>2731</v>
      </c>
      <c r="EH5" s="603" t="s">
        <v>2720</v>
      </c>
      <c r="EI5" s="596" t="s">
        <v>2733</v>
      </c>
      <c r="EJ5" s="596" t="s">
        <v>2681</v>
      </c>
      <c r="EK5" s="603" t="s">
        <v>2734</v>
      </c>
      <c r="EL5" s="603" t="s">
        <v>2735</v>
      </c>
      <c r="EM5" s="603" t="s">
        <v>2736</v>
      </c>
      <c r="EN5" s="603" t="s">
        <v>2737</v>
      </c>
      <c r="EO5" s="603" t="s">
        <v>2720</v>
      </c>
      <c r="EP5" s="596" t="s">
        <v>2739</v>
      </c>
      <c r="EQ5" s="596" t="s">
        <v>2740</v>
      </c>
      <c r="ER5" s="596" t="s">
        <v>2742</v>
      </c>
      <c r="ES5" s="596" t="s">
        <v>2734</v>
      </c>
      <c r="ET5" s="596" t="s">
        <v>2735</v>
      </c>
      <c r="EU5" s="596" t="s">
        <v>2741</v>
      </c>
      <c r="EV5" s="596" t="s">
        <v>2720</v>
      </c>
      <c r="EW5" s="603" t="s">
        <v>2744</v>
      </c>
      <c r="EX5" s="603" t="s">
        <v>2745</v>
      </c>
      <c r="EY5" s="603" t="s">
        <v>2746</v>
      </c>
      <c r="EZ5" s="603" t="s">
        <v>2747</v>
      </c>
      <c r="FA5" s="603" t="s">
        <v>2748</v>
      </c>
      <c r="FB5" s="603" t="s">
        <v>2749</v>
      </c>
      <c r="FC5" s="603" t="s">
        <v>2720</v>
      </c>
      <c r="FD5" s="605" t="s">
        <v>2755</v>
      </c>
      <c r="FE5" s="605" t="s">
        <v>2756</v>
      </c>
      <c r="FF5" s="605" t="s">
        <v>2757</v>
      </c>
      <c r="FG5" s="605" t="s">
        <v>2758</v>
      </c>
      <c r="FH5" s="605" t="s">
        <v>2681</v>
      </c>
      <c r="FI5" s="605" t="s">
        <v>2759</v>
      </c>
      <c r="FJ5" s="605" t="s">
        <v>2760</v>
      </c>
      <c r="FK5" s="606" t="s">
        <v>2681</v>
      </c>
      <c r="FL5" s="606" t="s">
        <v>2720</v>
      </c>
      <c r="FM5" s="605" t="s">
        <v>257</v>
      </c>
      <c r="FN5" s="605" t="s">
        <v>2681</v>
      </c>
      <c r="FO5" s="606" t="s">
        <v>2764</v>
      </c>
      <c r="FP5" s="606" t="s">
        <v>2765</v>
      </c>
      <c r="FQ5" s="606" t="s">
        <v>2766</v>
      </c>
      <c r="FR5" s="606" t="s">
        <v>2720</v>
      </c>
      <c r="FS5" s="605" t="s">
        <v>2680</v>
      </c>
      <c r="FT5" s="605" t="s">
        <v>2704</v>
      </c>
      <c r="FU5" s="605" t="s">
        <v>257</v>
      </c>
      <c r="FV5" s="605" t="s">
        <v>2681</v>
      </c>
      <c r="FW5" s="606" t="s">
        <v>2771</v>
      </c>
      <c r="FX5" s="606" t="s">
        <v>2770</v>
      </c>
      <c r="FY5" s="606" t="s">
        <v>257</v>
      </c>
      <c r="FZ5" s="606" t="s">
        <v>2681</v>
      </c>
      <c r="GA5" s="605" t="s">
        <v>2773</v>
      </c>
      <c r="GB5" s="605" t="s">
        <v>2774</v>
      </c>
      <c r="GC5" s="605" t="s">
        <v>2775</v>
      </c>
      <c r="GD5" s="605" t="s">
        <v>2776</v>
      </c>
      <c r="GE5" s="605" t="s">
        <v>2777</v>
      </c>
      <c r="GF5" s="605" t="s">
        <v>2778</v>
      </c>
      <c r="GG5" s="605" t="s">
        <v>2779</v>
      </c>
      <c r="GH5" s="605" t="s">
        <v>2780</v>
      </c>
      <c r="GI5" s="605" t="s">
        <v>2781</v>
      </c>
      <c r="GJ5" s="605" t="s">
        <v>2782</v>
      </c>
      <c r="GK5" s="606" t="s">
        <v>257</v>
      </c>
      <c r="GL5" s="606" t="s">
        <v>2681</v>
      </c>
      <c r="GM5" s="606" t="s">
        <v>2720</v>
      </c>
      <c r="GN5" s="607" t="s">
        <v>2787</v>
      </c>
      <c r="GO5" s="607" t="s">
        <v>2788</v>
      </c>
      <c r="GP5" s="609" t="s">
        <v>2790</v>
      </c>
      <c r="GQ5" s="609" t="s">
        <v>2791</v>
      </c>
      <c r="GR5" s="609" t="s">
        <v>2681</v>
      </c>
      <c r="GS5" s="607" t="s">
        <v>2793</v>
      </c>
      <c r="GT5" s="607" t="s">
        <v>2794</v>
      </c>
      <c r="GU5" s="607" t="s">
        <v>2804</v>
      </c>
      <c r="GV5" s="607" t="s">
        <v>2681</v>
      </c>
      <c r="GW5" s="607" t="s">
        <v>2795</v>
      </c>
      <c r="GX5" s="607" t="s">
        <v>2796</v>
      </c>
      <c r="GY5" s="607" t="s">
        <v>2720</v>
      </c>
      <c r="GZ5" s="609" t="s">
        <v>257</v>
      </c>
      <c r="HA5" s="609" t="s">
        <v>2681</v>
      </c>
      <c r="HB5" s="607" t="s">
        <v>2798</v>
      </c>
      <c r="HC5" s="607" t="s">
        <v>2681</v>
      </c>
      <c r="HD5" s="609" t="s">
        <v>257</v>
      </c>
      <c r="HE5" s="609" t="s">
        <v>2681</v>
      </c>
      <c r="HF5" s="607" t="s">
        <v>257</v>
      </c>
      <c r="HG5" s="607" t="s">
        <v>2681</v>
      </c>
      <c r="HH5" s="609" t="s">
        <v>2802</v>
      </c>
      <c r="HI5" s="609" t="s">
        <v>2720</v>
      </c>
      <c r="HJ5" s="1203"/>
    </row>
    <row r="6" spans="1:218" x14ac:dyDescent="0.2">
      <c r="B6" s="623">
        <f>IFERROR(Identification!F16,"Inconnu")</f>
        <v>0</v>
      </c>
      <c r="C6" s="623">
        <f>Identification!F18</f>
        <v>0</v>
      </c>
      <c r="D6" s="623">
        <f>cTypeAudit</f>
        <v>0</v>
      </c>
      <c r="E6" s="623">
        <f>Identification!F22</f>
        <v>0</v>
      </c>
      <c r="F6" s="623" t="s">
        <v>2826</v>
      </c>
      <c r="G6" s="624" t="s">
        <v>2843</v>
      </c>
      <c r="H6" s="625" t="str">
        <f>IF(ISBLANK(Identification!F10),"",Identification!F10)</f>
        <v/>
      </c>
      <c r="I6" s="636">
        <f>IFERROR(Identification!F36,"Inconnu")</f>
        <v>0</v>
      </c>
      <c r="J6" s="626">
        <f>IFERROR(Identification!F34,"Inconnu")</f>
        <v>0</v>
      </c>
      <c r="K6" s="626" t="str">
        <f>IFERROR(Identification!F43 &amp; " " &amp; Identification!F45,"Inconnu")</f>
        <v xml:space="preserve"> </v>
      </c>
      <c r="L6" s="626">
        <f>IFERROR(Identification!F47,"Inconnu")</f>
        <v>0</v>
      </c>
      <c r="M6" s="623" t="str">
        <f>IFERROR(Identification!R34,"Inconnu")</f>
        <v/>
      </c>
      <c r="N6" s="623">
        <f>IFERROR(Identification!R32,"Inconnu")</f>
        <v>0</v>
      </c>
      <c r="O6" s="623">
        <f>IFERROR(Identification!F49,"Inconnu")</f>
        <v>0</v>
      </c>
      <c r="P6" s="637">
        <f>IFERROR(Identification!R43,"Inconnu")</f>
        <v>0</v>
      </c>
      <c r="Q6" s="623">
        <f>IFERROR(Identification!R45,"Inconnu")</f>
        <v>0</v>
      </c>
      <c r="R6" s="623">
        <f>IFERROR(Identification!R47,"Inconnu")</f>
        <v>0</v>
      </c>
      <c r="S6" s="625" t="str">
        <f>IF(ISBLANK(Identification!L80),"",Identification!L80)</f>
        <v/>
      </c>
      <c r="T6" s="623" t="str">
        <f>IF(ISBLANK(Identification!L80),"",Identification!R80)</f>
        <v/>
      </c>
      <c r="U6" s="623" t="str">
        <f>IF(ISBLANK(Identification!F83),"",Identification!F83)</f>
        <v/>
      </c>
      <c r="V6" s="625" t="str">
        <f>IF(Identification!F83="Oui",Identification!L83,"")</f>
        <v/>
      </c>
      <c r="W6" s="623" t="str">
        <f>IF(Identification!F83="Oui",Identification!R83,"")</f>
        <v/>
      </c>
      <c r="X6" s="623">
        <f>IFERROR(Identification!F86,"Inconnu")</f>
        <v>0</v>
      </c>
      <c r="Y6" s="627">
        <f>IFERROR(Identification!G94,"Inconnu")</f>
        <v>0</v>
      </c>
      <c r="Z6" s="642"/>
      <c r="AA6" s="642"/>
      <c r="AB6" s="642"/>
      <c r="AC6" s="627">
        <f>IFERROR(Identification!F72,"Inconnu")</f>
        <v>0</v>
      </c>
      <c r="AD6" s="627">
        <f>IFERROR(Identification!V49,"Inconnu")</f>
        <v>0</v>
      </c>
      <c r="AE6" s="643"/>
      <c r="AF6" s="592" t="str">
        <f>IF(ISBLANK(Identification!F16),"",Identification!F16)</f>
        <v/>
      </c>
      <c r="AG6" s="592" t="str">
        <f>IF(ISBLANK(Identification!F12),"",Identification!F12)</f>
        <v/>
      </c>
      <c r="AH6" s="592" t="str">
        <f>IF(ISBLANK(cTypeAudit),"",cTypeAudit)</f>
        <v/>
      </c>
      <c r="AI6" s="592" t="str">
        <f>IF(ISBLANK(Identification!T12),"",Identification!T12)</f>
        <v/>
      </c>
      <c r="AJ6" s="592" t="str">
        <f>IF(ISBLANK(Identification!F22),"",Identification!F22)</f>
        <v/>
      </c>
      <c r="AK6" s="592" t="str">
        <f>IF(ISBLANK(Identification!R32),"",Identification!R32)</f>
        <v/>
      </c>
      <c r="AL6" s="592" t="str">
        <f>IF(ISBLANK(Identification!R32),"",Identification!R34)</f>
        <v/>
      </c>
      <c r="AM6" s="592" t="str">
        <f>IF(ISBLANK(Identification!R32),"",Identification!R36)</f>
        <v/>
      </c>
      <c r="AN6" s="592" t="str">
        <f>IF(ISBLANK(Identification!H61),"",Identification!H61)</f>
        <v/>
      </c>
      <c r="AO6" s="592" t="str">
        <f>IF(ISBLANK(Identification!T61),"",Identification!T61)</f>
        <v/>
      </c>
      <c r="AP6" s="592" t="str">
        <f>IF(ISBLANK(Identification!F69),"",Identification!F69)</f>
        <v/>
      </c>
      <c r="AQ6" s="610" t="str">
        <f>IF(ISBLANK(Identification!G89),"",Identification!G89)</f>
        <v/>
      </c>
      <c r="AR6" s="592" t="str">
        <f>IF(ISBLANK(Identification!N89),"",Identification!N89)</f>
        <v/>
      </c>
      <c r="AS6" s="595">
        <f>IF(Surfaces!O22=0,"",Surfaces!O22)</f>
        <v>10</v>
      </c>
      <c r="AT6" s="595">
        <f>IF(cSAU=0,"",cSAU)</f>
        <v>10</v>
      </c>
      <c r="AU6" s="595">
        <f>IF(cSAU=0,"",SUM(Surfaces!O77:O83))</f>
        <v>10</v>
      </c>
      <c r="AV6" s="595">
        <f>IF(cSAU=0,"",SUM(Surfaces!O87:O90))</f>
        <v>0</v>
      </c>
      <c r="AW6" s="595">
        <f>IF(cSAU=0,"",SUM(Surfaces!O94:O97))</f>
        <v>0</v>
      </c>
      <c r="AX6" s="595">
        <f>IF(cSAU=0,"",SUM(Surfaces!O101,Surfaces!O103:O105))</f>
        <v>0</v>
      </c>
      <c r="AY6" s="595">
        <f>IF(cSAU=0,"",SUM(Surfaces!O109:O111))</f>
        <v>0</v>
      </c>
      <c r="AZ6" s="595">
        <f>IF(cSAU=0,"",SUM(Surfaces!O115:O122))</f>
        <v>0</v>
      </c>
      <c r="BA6" s="595">
        <f>IF(cSAU=0,"",SUM(Surfaces!O127:O128))</f>
        <v>0</v>
      </c>
      <c r="BB6" s="595">
        <f>IF(cSAU=0,"",SUM(Surfaces!O132:O136))</f>
        <v>0</v>
      </c>
      <c r="BC6" s="595">
        <f>IF(cSAU=0,"",Surfaces!O141)</f>
        <v>0</v>
      </c>
      <c r="BD6" s="595">
        <f>IF(cSAU=0,"",SUM(Surfaces!O143:O157))</f>
        <v>0</v>
      </c>
      <c r="BE6" s="595">
        <f>IF(cSAU=0,"",Surfaces!O159)</f>
        <v>0</v>
      </c>
      <c r="BF6" s="595">
        <f>IF(cSAU=0,"",Surfaces!O195)</f>
        <v>0</v>
      </c>
      <c r="BG6" s="592" t="str">
        <f>Biodiversité!W41</f>
        <v>OUI</v>
      </c>
      <c r="BH6" s="594">
        <f>Biodiversité!T48</f>
        <v>0</v>
      </c>
      <c r="BI6" s="595">
        <f>Biodiversité!Y17</f>
        <v>0</v>
      </c>
      <c r="BJ6" s="595">
        <f>Biodiversité!Y18</f>
        <v>0</v>
      </c>
      <c r="BK6" s="595">
        <f>Biodiversité!Y19</f>
        <v>0</v>
      </c>
      <c r="BL6" s="595">
        <f>Biodiversité!Y20</f>
        <v>0</v>
      </c>
      <c r="BM6" s="595">
        <f>Biodiversité!Y21</f>
        <v>0</v>
      </c>
      <c r="BN6" s="595">
        <f>Biodiversité!Y22</f>
        <v>0</v>
      </c>
      <c r="BO6" s="595">
        <f>Biodiversité!Y23</f>
        <v>0</v>
      </c>
      <c r="BP6" s="595">
        <f>Biodiversité!Y25</f>
        <v>0</v>
      </c>
      <c r="BQ6" s="595">
        <f>Biodiversité!Y26</f>
        <v>0</v>
      </c>
      <c r="BR6" s="595">
        <f>Biodiversité!Y27</f>
        <v>0</v>
      </c>
      <c r="BS6" s="595">
        <f>Biodiversité!Y28</f>
        <v>0</v>
      </c>
      <c r="BT6" s="595">
        <f>Biodiversité!Y29</f>
        <v>0</v>
      </c>
      <c r="BU6" s="595">
        <f>Biodiversité!Y30</f>
        <v>0</v>
      </c>
      <c r="BV6" s="595">
        <f>Biodiversité!Y31</f>
        <v>0</v>
      </c>
      <c r="BW6" s="595">
        <f>Biodiversité!Y32</f>
        <v>0</v>
      </c>
      <c r="BX6" s="595">
        <f>Biodiversité!Y33</f>
        <v>0</v>
      </c>
      <c r="BY6" s="595">
        <f>Biodiversité!Y34</f>
        <v>0</v>
      </c>
      <c r="BZ6" s="595">
        <f>Biodiversité!Y35</f>
        <v>0</v>
      </c>
      <c r="CA6" s="594">
        <f>Biodiversité!T53</f>
        <v>0</v>
      </c>
      <c r="CB6" s="595">
        <f>Biodiversité!T56</f>
        <v>0</v>
      </c>
      <c r="CC6" s="640" t="str">
        <f>IF(ISBLANK(Biodiversité!T60),"",Biodiversité!T60)</f>
        <v/>
      </c>
      <c r="CD6" s="595">
        <f>Biodiversité!W58</f>
        <v>0</v>
      </c>
      <c r="CE6" s="595">
        <f>Biodiversité!P82</f>
        <v>0</v>
      </c>
      <c r="CF6" s="595">
        <f>Biodiversité!P83</f>
        <v>0</v>
      </c>
      <c r="CG6" s="594">
        <f>Biodiversité!P85</f>
        <v>0</v>
      </c>
      <c r="CH6" s="595">
        <f>Biodiversité!S85</f>
        <v>0</v>
      </c>
      <c r="CI6" s="594">
        <f>Biodiversité!N112</f>
        <v>0</v>
      </c>
      <c r="CJ6" s="595">
        <f>Biodiversité!Q112</f>
        <v>0</v>
      </c>
      <c r="CK6" s="595">
        <f>Biodiversité!N109</f>
        <v>0</v>
      </c>
      <c r="CL6" s="592">
        <f>Biodiversité!L152</f>
        <v>0</v>
      </c>
      <c r="CM6" s="595">
        <f>Biodiversité!O154</f>
        <v>0</v>
      </c>
      <c r="CN6" s="599">
        <f>Biodiversité!I180</f>
        <v>0</v>
      </c>
      <c r="CO6" s="600">
        <f>Biodiversité!L180</f>
        <v>0</v>
      </c>
      <c r="CP6" s="599">
        <f>Biodiversité!I199</f>
        <v>0</v>
      </c>
      <c r="CQ6" s="600">
        <f>Biodiversité!L199</f>
        <v>0</v>
      </c>
      <c r="CR6" s="638">
        <f>Biodiversité!I215</f>
        <v>0</v>
      </c>
      <c r="CS6" s="638">
        <f>Biodiversité!I216</f>
        <v>0</v>
      </c>
      <c r="CT6" s="600">
        <f>Biodiversité!L231</f>
        <v>0</v>
      </c>
      <c r="CU6" s="599" t="str">
        <f>IF(ISBLANK(Biodiversité!O242),"",Biodiversité!O242)</f>
        <v/>
      </c>
      <c r="CV6" s="599" t="str">
        <f>IF(ISBLANK(Biodiversité!O243),"",Biodiversité!O243)</f>
        <v/>
      </c>
      <c r="CW6" s="601">
        <f>Biodiversité!O247</f>
        <v>0</v>
      </c>
      <c r="CX6" s="592" t="str">
        <f>IF(ISBLANK(Phyto!L11),"",Phyto!L11)</f>
        <v/>
      </c>
      <c r="CY6" s="592" t="str">
        <f>IF(ISBLANK(Phyto!M22),"",Phyto!M22)</f>
        <v/>
      </c>
      <c r="CZ6" s="592" t="str">
        <f>IF(ISBLANK(Phyto!M23),"",Phyto!M23)</f>
        <v/>
      </c>
      <c r="DA6" s="601">
        <f>Phyto!P25</f>
        <v>0</v>
      </c>
      <c r="DB6" s="601">
        <f>Phyto!M37</f>
        <v>0</v>
      </c>
      <c r="DC6" s="601">
        <f>Phyto!M38</f>
        <v>0</v>
      </c>
      <c r="DD6" s="601">
        <f>Phyto!M39</f>
        <v>0</v>
      </c>
      <c r="DE6" s="594">
        <f>Phyto!M48</f>
        <v>0</v>
      </c>
      <c r="DF6" s="601">
        <f>Phyto!P48</f>
        <v>0</v>
      </c>
      <c r="DG6" s="639" t="str">
        <f>IF(ISBLANK(Phyto!J88),"",Phyto!J88)</f>
        <v/>
      </c>
      <c r="DH6" s="639" t="str">
        <f>IF(ISBLANK(Phyto!J89),"",Phyto!J89)</f>
        <v/>
      </c>
      <c r="DI6" s="639" t="str">
        <f>IF(ISBLANK(Phyto!L88),"",Phyto!L88)</f>
        <v/>
      </c>
      <c r="DJ6" s="639" t="str">
        <f>IF(ISBLANK(Phyto!L89),"",Phyto!L89)</f>
        <v/>
      </c>
      <c r="DK6" s="639" t="str">
        <f>IF(ISBLANK(Phyto!N88),"",Phyto!N88)</f>
        <v/>
      </c>
      <c r="DL6" s="639" t="str">
        <f>IF(ISBLANK(Phyto!N89),"",Phyto!N89)</f>
        <v/>
      </c>
      <c r="DM6" s="639" t="str">
        <f>IF(ISBLANK(Phyto!P88),"",Phyto!P88)</f>
        <v/>
      </c>
      <c r="DN6" s="639" t="str">
        <f>IF(ISBLANK(Phyto!P89),"",Phyto!P89)</f>
        <v/>
      </c>
      <c r="DO6" s="604" t="str">
        <f>IF(ISBLANK(Phyto!H96),"",Phyto!H96)</f>
        <v/>
      </c>
      <c r="DP6" s="604" t="str">
        <f>IF(ISBLANK(Phyto!H97),"",Phyto!H97)</f>
        <v/>
      </c>
      <c r="DQ6" s="604" t="str">
        <f>IF(ISBLANK(Phyto!M96),"",Phyto!M96)</f>
        <v/>
      </c>
      <c r="DR6" s="604" t="str">
        <f>IF(ISBLANK(Phyto!M97),"",Phyto!M97)</f>
        <v/>
      </c>
      <c r="DS6" s="604" t="str">
        <f>IF(ISBLANK(Phyto!R96),"",Phyto!R96)</f>
        <v/>
      </c>
      <c r="DT6" s="604" t="str">
        <f>IF(ISBLANK(Phyto!R97),"",Phyto!R97)</f>
        <v/>
      </c>
      <c r="DU6" s="604">
        <f>IF(SUM(Phyto!K106:L108)=0,"",Phyto!M111)</f>
        <v>0</v>
      </c>
      <c r="DV6" s="595" t="str">
        <f>IF(Phyto!Q145=0,"",Phyto!S144)</f>
        <v/>
      </c>
      <c r="DW6" s="595" t="str">
        <f>IF(Phyto!Q145=0,"",Phyto!S147)</f>
        <v/>
      </c>
      <c r="DX6" s="592" t="str">
        <f>IF(ISBLANK(Phyto!R162),"",Phyto!R162)</f>
        <v/>
      </c>
      <c r="DY6" s="592" t="str">
        <f>IF(ISBLANK(Phyto!R164),"",Phyto!R164)</f>
        <v/>
      </c>
      <c r="DZ6" s="594">
        <f>Phyto!R181</f>
        <v>0</v>
      </c>
      <c r="EA6" s="595">
        <f>Phyto!R184</f>
        <v>0</v>
      </c>
      <c r="EB6" s="595">
        <f>Phyto!R185</f>
        <v>0</v>
      </c>
      <c r="EC6" s="595">
        <f>Phyto!R186</f>
        <v>0</v>
      </c>
      <c r="ED6" s="594">
        <f>IF(Phyto!N224=0,"",Phyto!N226)</f>
        <v>0</v>
      </c>
      <c r="EE6" s="594" t="str">
        <f>IF(Phyto!N225=0,"",Phyto!N227)</f>
        <v/>
      </c>
      <c r="EF6" s="604">
        <f>IF(Phyto!N224=0,"",Phyto!P226)</f>
        <v>0</v>
      </c>
      <c r="EG6" s="604" t="str">
        <f>IF(Phyto!N225=0,"",Phyto!P227)</f>
        <v/>
      </c>
      <c r="EH6" s="604">
        <f>IF(Phyto!N228=0,"",Phyto!P229)</f>
        <v>0</v>
      </c>
      <c r="EI6" s="592">
        <f>Phyto!J240</f>
        <v>0</v>
      </c>
      <c r="EJ6" s="604">
        <f>Phyto!D253</f>
        <v>0</v>
      </c>
      <c r="EK6" s="604" t="str">
        <f>IF(Phyto!J281=0,"",Phyto!L262)</f>
        <v/>
      </c>
      <c r="EL6" s="604" t="str">
        <f>IF(Phyto!J282=0,"",Phyto!L267)</f>
        <v/>
      </c>
      <c r="EM6" s="604" t="str">
        <f>IF(Phyto!J283=0,"",Phyto!L272)</f>
        <v/>
      </c>
      <c r="EN6" s="604" t="str">
        <f>IF(Phyto!J284=0,"",Phyto!L277)</f>
        <v/>
      </c>
      <c r="EO6" s="604" t="str">
        <f>IF(SUM(Phyto!J281:K284)=0,"",Phyto!L286)</f>
        <v/>
      </c>
      <c r="EP6" s="594" t="str">
        <f>IF(Phyto!J312=0,"",Phyto!J315)</f>
        <v/>
      </c>
      <c r="EQ6" s="594" t="str">
        <f>IF(Phyto!J313=0,"",Phyto!J316)</f>
        <v/>
      </c>
      <c r="ER6" s="594" t="str">
        <f>IF(Phyto!J314=0,"",Phyto!J317)</f>
        <v/>
      </c>
      <c r="ES6" s="604" t="str">
        <f>IF(Phyto!J312=0,"",Phyto!L315)</f>
        <v/>
      </c>
      <c r="ET6" s="604" t="str">
        <f>IF(Phyto!J313=0,"",Phyto!L316)</f>
        <v/>
      </c>
      <c r="EU6" s="604" t="str">
        <f>IF(Phyto!J314=0,"",Phyto!L317)</f>
        <v/>
      </c>
      <c r="EV6" s="604" t="str">
        <f>IF(SUM(Phyto!J312:K314)=0,"",Phyto!L319)</f>
        <v/>
      </c>
      <c r="EW6" s="594" t="str">
        <f>IF(Phyto!L340=0,"",Phyto!L350)</f>
        <v/>
      </c>
      <c r="EX6" s="594" t="str">
        <f>IF(Phyto!L345=0,"",Phyto!L351)</f>
        <v/>
      </c>
      <c r="EY6" s="594" t="str">
        <f>IF(Phyto!L345=0,"",Phyto!L352)</f>
        <v/>
      </c>
      <c r="EZ6" s="604" t="str">
        <f>IF(Phyto!L340=0,"",Phyto!N350)</f>
        <v/>
      </c>
      <c r="FA6" s="604" t="str">
        <f>IF(Phyto!L345=0,"",Phyto!N351)</f>
        <v/>
      </c>
      <c r="FB6" s="604" t="str">
        <f>IF(Phyto!L345=0,"",Phyto!N352)</f>
        <v/>
      </c>
      <c r="FC6" s="604" t="str">
        <f>IF(SUM(Phyto!L340,Phyto!L345)=0,"",Phyto!N353)</f>
        <v/>
      </c>
      <c r="FD6" s="592" t="str">
        <f>IF(ISBLANK(Fertilisation!M52),"",Fertilisation!M52)</f>
        <v/>
      </c>
      <c r="FE6" s="592" t="str">
        <f>IF(ISBLANK(Fertilisation!M51),"",Fertilisation!M51)</f>
        <v/>
      </c>
      <c r="FF6" s="592" t="str">
        <f>IF(ISBLANK(Fertilisation!M54),"",Fertilisation!M54)</f>
        <v/>
      </c>
      <c r="FG6" s="595" t="str">
        <f>Fertilisation!M55</f>
        <v/>
      </c>
      <c r="FH6" s="604" t="str">
        <f>IF(ISBLANK(Fertilisation!M54),"",Fertilisation!P55)</f>
        <v/>
      </c>
      <c r="FI6" s="594" t="str">
        <f>IF(ISBLANK(Fertilisation!M58),"",Fertilisation!M60)</f>
        <v/>
      </c>
      <c r="FJ6" s="604" t="str">
        <f>IF(ISBLANK(Fertilisation!M54),"",Fertilisation!P64)</f>
        <v/>
      </c>
      <c r="FK6" s="604" t="str">
        <f>IF(Fertilisation!Q98=0,"",Fertilisation!S97)</f>
        <v/>
      </c>
      <c r="FL6" s="604" t="str">
        <f>IF(Fertilisation!Q98=0,"",Fertilisation!S100)</f>
        <v/>
      </c>
      <c r="FM6" s="594" t="str">
        <f>IF(Fertilisation!N121=0,"",Fertilisation!N122)</f>
        <v/>
      </c>
      <c r="FN6" s="604" t="str">
        <f>IF(Fertilisation!N121=0,"",Fertilisation!P122)</f>
        <v/>
      </c>
      <c r="FO6" s="604" t="str">
        <f>IF(Fertilisation!N161=0,"",SUM(Fertilisation!P168:Q171))</f>
        <v/>
      </c>
      <c r="FP6" s="604" t="str">
        <f>IF(Fertilisation!N162=0,"",SUM(Fertilisation!P174:Q175))</f>
        <v/>
      </c>
      <c r="FQ6" s="604" t="str">
        <f>IF(Fertilisation!N163=0,"",Fertilisation!P183)</f>
        <v/>
      </c>
      <c r="FR6" s="604">
        <f>Fertilisation!P187</f>
        <v>0</v>
      </c>
      <c r="FS6" s="595">
        <f>Fertilisation!J203</f>
        <v>0</v>
      </c>
      <c r="FT6" s="595">
        <f>Fertilisation!J204</f>
        <v>0</v>
      </c>
      <c r="FU6" s="594">
        <f>Fertilisation!J211</f>
        <v>0</v>
      </c>
      <c r="FV6" s="604">
        <f>Fertilisation!L211</f>
        <v>0</v>
      </c>
      <c r="FW6" s="595">
        <f>SUM(Fertilisation!N229:O233)</f>
        <v>0</v>
      </c>
      <c r="FX6" s="604" t="str">
        <f>IF(SUM(Phyto!J312:K314)=0,"",Fertilisation!N234)</f>
        <v/>
      </c>
      <c r="FY6" s="594">
        <f>Fertilisation!N238</f>
        <v>0</v>
      </c>
      <c r="FZ6" s="604">
        <f>Fertilisation!P238</f>
        <v>0</v>
      </c>
      <c r="GA6" s="592" t="str">
        <f>IF(Fertilisation!O257&gt;0%,IF(ISBLANK(Fertilisation!O261),"",Fertilisation!O261),"")</f>
        <v/>
      </c>
      <c r="GB6" s="604" t="str">
        <f>IF(Fertilisation!O257&gt;0%,IF(ISBLANK(Fertilisation!O268),"",Fertilisation!O268),"")</f>
        <v/>
      </c>
      <c r="GC6" s="592" t="str">
        <f>IF(Fertilisation!O257&gt;0%,IF(ISBLANK(Fertilisation!O269),"",Fertilisation!O269),"")</f>
        <v/>
      </c>
      <c r="GD6" s="604" t="str">
        <f>IF(Fertilisation!O257&gt;0%,Fertilisation!Q284,"")</f>
        <v/>
      </c>
      <c r="GE6" s="604" t="str">
        <f>IF(Fertilisation!O257&gt;0%,Fertilisation!Q290,"")</f>
        <v/>
      </c>
      <c r="GF6" s="592" t="str">
        <f>IF(Fertilisation!O257&lt;100%,IF(ISBLANK(Fertilisation!O264),"",Fertilisation!O264),"")</f>
        <v/>
      </c>
      <c r="GG6" s="604" t="str">
        <f>IF(Fertilisation!O257&lt;100%,IF(ISBLANK(Fertilisation!O272),"",Fertilisation!O272),"")</f>
        <v/>
      </c>
      <c r="GH6" s="592" t="str">
        <f>IF(Fertilisation!O257&lt;100%,IF(ISBLANK(Fertilisation!O273),"",Fertilisation!O273),"")</f>
        <v/>
      </c>
      <c r="GI6" s="604">
        <f>IF(Fertilisation!O257&lt;100%,Fertilisation!Q285,"")</f>
        <v>0</v>
      </c>
      <c r="GJ6" s="604">
        <f>IF(Fertilisation!O257&lt;100%,Fertilisation!Q291,"")</f>
        <v>0</v>
      </c>
      <c r="GK6" s="594" t="str">
        <f>IF(Fertilisation!O317=0,"",Fertilisation!O318)</f>
        <v/>
      </c>
      <c r="GL6" s="604" t="str">
        <f>IF(Fertilisation!O317=0,"",Fertilisation!Q319)</f>
        <v/>
      </c>
      <c r="GM6" s="604" t="str">
        <f>IF(Fertilisation!O317=0,"",Fertilisation!Q320)</f>
        <v/>
      </c>
      <c r="GN6" s="592" t="str">
        <f>IF(ISBLANK(cIrriguante),"",cIrriguante)</f>
        <v/>
      </c>
      <c r="GO6" s="594" t="str">
        <f>IF(cIrriguante="Oui",Irrigation!K13/Irrigation!K12,"")</f>
        <v/>
      </c>
      <c r="GP6" s="592" t="str">
        <f>IF(ISBLANK(Irrigation!K24),"",Irrigation!K24)</f>
        <v/>
      </c>
      <c r="GQ6" s="594" t="str">
        <f>IF(cIrriguante="Oui",Irrigation!K51,"")</f>
        <v/>
      </c>
      <c r="GR6" s="604" t="str">
        <f>IF(cIrriguante="Oui",Irrigation!M51,"")</f>
        <v/>
      </c>
      <c r="GS6" s="592" t="str">
        <f>IF(cIrriguante="Oui",Irrigation!M76,"")</f>
        <v/>
      </c>
      <c r="GT6" s="592" t="str">
        <f>IF(cIrriguante="Oui",Irrigation!M77,"")</f>
        <v/>
      </c>
      <c r="GU6" s="592" t="str">
        <f>IF(cIrriguante="Oui",Irrigation!M78,"")</f>
        <v/>
      </c>
      <c r="GV6" s="604" t="str">
        <f>IF(cIrriguante="Oui",Irrigation!O80,"")</f>
        <v/>
      </c>
      <c r="GW6" s="594" t="str">
        <f>IF(cIrriguante="Oui",Irrigation!M85,"")</f>
        <v/>
      </c>
      <c r="GX6" s="604" t="str">
        <f>IF(cIrriguante="Oui",Irrigation!O87,"")</f>
        <v/>
      </c>
      <c r="GY6" s="604" t="str">
        <f>IF(cIrriguante="Oui",Irrigation!O92,"")</f>
        <v/>
      </c>
      <c r="GZ6" s="594" t="str">
        <f>IF(cIrriguante="Oui",Irrigation!J124,"")</f>
        <v/>
      </c>
      <c r="HA6" s="604" t="str">
        <f>IF(cIrriguante="Oui",Irrigation!L124,"")</f>
        <v/>
      </c>
      <c r="HB6" s="592" t="str">
        <f>IF(cIrriguante="Oui",Irrigation!J133,"")</f>
        <v/>
      </c>
      <c r="HC6" s="604" t="str">
        <f>IF(cIrriguante="Oui",Irrigation!D139,"")</f>
        <v/>
      </c>
      <c r="HD6" s="594" t="str">
        <f>IF(cIrriguante="Oui",Irrigation!L161,"")</f>
        <v/>
      </c>
      <c r="HE6" s="604" t="str">
        <f>IF(cIrriguante="Oui",Irrigation!N161,"")</f>
        <v/>
      </c>
      <c r="HF6" s="594" t="str">
        <f>IF(cIrriguante="Oui",Irrigation!K184,"")</f>
        <v/>
      </c>
      <c r="HG6" s="604" t="str">
        <f>IF(cIrriguante="Oui",Irrigation!M184,"")</f>
        <v/>
      </c>
      <c r="HH6" s="592" t="str">
        <f>IF(cIrriguante="Oui",Irrigation!N231,"")</f>
        <v/>
      </c>
      <c r="HI6" s="604" t="str">
        <f>IF(cIrriguante="Oui",Irrigation!P236,"")</f>
        <v/>
      </c>
      <c r="HJ6" s="645"/>
    </row>
  </sheetData>
  <sheetProtection algorithmName="SHA-512" hashValue="gMokxOFEU58h4Zqs7iH+dCt66ShugOjcggoAr+M4xTz0CVy8n2iZ5WI9Z97ZamlhavHBK1r8Qey8vc82OtQdFw==" saltValue="CT7h52p1PTmQsSIZv0zGPQ==" spinCount="100000" sheet="1" objects="1" scenarios="1"/>
  <mergeCells count="52">
    <mergeCell ref="CR4:CT4"/>
    <mergeCell ref="HJ3:HJ5"/>
    <mergeCell ref="DX4:EC4"/>
    <mergeCell ref="GN3:HI3"/>
    <mergeCell ref="CX3:FC3"/>
    <mergeCell ref="FD3:GM3"/>
    <mergeCell ref="CX4:DA4"/>
    <mergeCell ref="DB4:DF4"/>
    <mergeCell ref="DG4:DU4"/>
    <mergeCell ref="DV4:DW4"/>
    <mergeCell ref="GA4:GJ4"/>
    <mergeCell ref="ED4:EH4"/>
    <mergeCell ref="EI4:EJ4"/>
    <mergeCell ref="EK4:EO4"/>
    <mergeCell ref="EP4:EV4"/>
    <mergeCell ref="EW4:FC4"/>
    <mergeCell ref="AU4:BF4"/>
    <mergeCell ref="BG4:CD4"/>
    <mergeCell ref="CE4:CH4"/>
    <mergeCell ref="CI4:CK4"/>
    <mergeCell ref="AF3:AR3"/>
    <mergeCell ref="AS3:BF3"/>
    <mergeCell ref="BG3:CW3"/>
    <mergeCell ref="CU4:CW4"/>
    <mergeCell ref="AF4:AJ4"/>
    <mergeCell ref="AK4:AM4"/>
    <mergeCell ref="AN4:AP4"/>
    <mergeCell ref="AQ4:AR4"/>
    <mergeCell ref="AS4:AT4"/>
    <mergeCell ref="CL4:CM4"/>
    <mergeCell ref="CN4:CO4"/>
    <mergeCell ref="CP4:CQ4"/>
    <mergeCell ref="FD4:FJ4"/>
    <mergeCell ref="FK4:FL4"/>
    <mergeCell ref="FM4:FN4"/>
    <mergeCell ref="FO4:FR4"/>
    <mergeCell ref="FS4:FV4"/>
    <mergeCell ref="FW4:FZ4"/>
    <mergeCell ref="HD4:HE4"/>
    <mergeCell ref="HF4:HG4"/>
    <mergeCell ref="HH4:HI4"/>
    <mergeCell ref="GK4:GM4"/>
    <mergeCell ref="GN4:GO4"/>
    <mergeCell ref="GP4:GR4"/>
    <mergeCell ref="GS4:GY4"/>
    <mergeCell ref="GZ4:HA4"/>
    <mergeCell ref="HB4:HC4"/>
    <mergeCell ref="B3:AE3"/>
    <mergeCell ref="B4:H4"/>
    <mergeCell ref="I4:R4"/>
    <mergeCell ref="AC4:AE4"/>
    <mergeCell ref="S4:AB4"/>
  </mergeCells>
  <conditionalFormatting sqref="I5">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11</vt:i4>
      </vt:variant>
    </vt:vector>
  </HeadingPairs>
  <TitlesOfParts>
    <vt:vector size="28" baseType="lpstr">
      <vt:lpstr>Suivi modif</vt:lpstr>
      <vt:lpstr>Accueil</vt:lpstr>
      <vt:lpstr>Identification</vt:lpstr>
      <vt:lpstr>Surfaces</vt:lpstr>
      <vt:lpstr>Surfaces_Horti</vt:lpstr>
      <vt:lpstr>Biodiversité</vt:lpstr>
      <vt:lpstr>Phyto</vt:lpstr>
      <vt:lpstr>Fertilisation</vt:lpstr>
      <vt:lpstr>Irrigation</vt:lpstr>
      <vt:lpstr>SYNTHESE</vt:lpstr>
      <vt:lpstr>OTEX</vt:lpstr>
      <vt:lpstr>Scoring_GC</vt:lpstr>
      <vt:lpstr>Scoring_Arboriculture</vt:lpstr>
      <vt:lpstr>Scoring_Viticulture</vt:lpstr>
      <vt:lpstr>Communes_07-26</vt:lpstr>
      <vt:lpstr>BDD_OC</vt:lpstr>
      <vt:lpstr>BDD_SC</vt:lpstr>
      <vt:lpstr>cBassinViti</vt:lpstr>
      <vt:lpstr>cCampagneN</vt:lpstr>
      <vt:lpstr>cCampagneN1</vt:lpstr>
      <vt:lpstr>CCampagneN2</vt:lpstr>
      <vt:lpstr>cCMR1</vt:lpstr>
      <vt:lpstr>cCMR2</vt:lpstr>
      <vt:lpstr>cIrriguante</vt:lpstr>
      <vt:lpstr>cRegion</vt:lpstr>
      <vt:lpstr>cSAU</vt:lpstr>
      <vt:lpstr>cTypeAudit</vt:lpstr>
      <vt:lpstr>SYNTHESE!Zone_d_impression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Petit</dc:creator>
  <cp:lastModifiedBy>Myriam ENNIFAR</cp:lastModifiedBy>
  <cp:lastPrinted>2022-11-21T07:40:24Z</cp:lastPrinted>
  <dcterms:created xsi:type="dcterms:W3CDTF">2022-07-05T08:44:17Z</dcterms:created>
  <dcterms:modified xsi:type="dcterms:W3CDTF">2023-03-10T07:20:58Z</dcterms:modified>
</cp:coreProperties>
</file>